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844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Лист1!$1:$1</definedName>
    <definedName name="_xlnm.Print_Area" localSheetId="0">Лист1!$A$1:$M$74</definedName>
  </definedNames>
  <calcPr calcId="145621"/>
</workbook>
</file>

<file path=xl/calcChain.xml><?xml version="1.0" encoding="utf-8"?>
<calcChain xmlns="http://schemas.openxmlformats.org/spreadsheetml/2006/main">
  <c r="F23" i="1" l="1"/>
  <c r="G10" i="1"/>
  <c r="I67" i="1" l="1"/>
  <c r="I66" i="1"/>
  <c r="I64" i="1"/>
  <c r="M72" i="1"/>
  <c r="M70" i="1"/>
  <c r="M68" i="1"/>
  <c r="L60" i="1"/>
  <c r="L59" i="1"/>
  <c r="M57" i="1"/>
  <c r="L62" i="1"/>
  <c r="L61" i="1"/>
  <c r="F65" i="1" l="1"/>
  <c r="G65" i="1" s="1"/>
  <c r="H65" i="1" s="1"/>
  <c r="I65" i="1" s="1"/>
  <c r="F64" i="1"/>
  <c r="H62" i="1"/>
  <c r="I62" i="1" s="1"/>
  <c r="J62" i="1" s="1"/>
  <c r="K62" i="1" s="1"/>
  <c r="G62" i="1"/>
  <c r="F62" i="1"/>
  <c r="F61" i="1"/>
  <c r="H60" i="1"/>
  <c r="I60" i="1" s="1"/>
  <c r="J60" i="1" s="1"/>
  <c r="K60" i="1" s="1"/>
  <c r="G60" i="1"/>
  <c r="F60" i="1"/>
  <c r="F59" i="1"/>
  <c r="H73" i="1"/>
  <c r="I73" i="1" s="1"/>
  <c r="J73" i="1" s="1"/>
  <c r="K73" i="1" s="1"/>
  <c r="L73" i="1" s="1"/>
  <c r="M73" i="1" s="1"/>
  <c r="G73" i="1"/>
  <c r="F72" i="1"/>
  <c r="F73" i="1" s="1"/>
  <c r="H71" i="1"/>
  <c r="I71" i="1"/>
  <c r="J71" i="1" s="1"/>
  <c r="K71" i="1" s="1"/>
  <c r="L71" i="1" s="1"/>
  <c r="M71" i="1" s="1"/>
  <c r="G71" i="1"/>
  <c r="F71" i="1"/>
  <c r="F70" i="1"/>
  <c r="H69" i="1"/>
  <c r="I69" i="1" s="1"/>
  <c r="J69" i="1" s="1"/>
  <c r="K69" i="1" s="1"/>
  <c r="L69" i="1" s="1"/>
  <c r="M69" i="1" s="1"/>
  <c r="G69" i="1"/>
  <c r="F69" i="1"/>
  <c r="F68" i="1"/>
  <c r="H67" i="1"/>
  <c r="G67" i="1"/>
  <c r="F67" i="1"/>
  <c r="F66" i="1"/>
  <c r="H58" i="1"/>
  <c r="I58" i="1" s="1"/>
  <c r="J58" i="1" s="1"/>
  <c r="K58" i="1" s="1"/>
  <c r="L58" i="1" s="1"/>
  <c r="M58" i="1" s="1"/>
  <c r="G58" i="1"/>
  <c r="F57" i="1"/>
  <c r="F58" i="1" s="1"/>
  <c r="L53" i="1"/>
  <c r="H54" i="1"/>
  <c r="I54" i="1" s="1"/>
  <c r="J54" i="1" s="1"/>
  <c r="K54" i="1" s="1"/>
  <c r="L54" i="1" s="1"/>
  <c r="G54" i="1"/>
  <c r="L48" i="1"/>
  <c r="H49" i="1"/>
  <c r="I49" i="1"/>
  <c r="J49" i="1" s="1"/>
  <c r="K49" i="1" s="1"/>
  <c r="L49" i="1" s="1"/>
  <c r="G49" i="1"/>
  <c r="L40" i="1"/>
  <c r="H42" i="1"/>
  <c r="I42" i="1"/>
  <c r="J42" i="1" s="1"/>
  <c r="K42" i="1" s="1"/>
  <c r="L42" i="1" s="1"/>
  <c r="G42" i="1"/>
  <c r="L22" i="1"/>
  <c r="H23" i="1"/>
  <c r="I23" i="1" s="1"/>
  <c r="J23" i="1" s="1"/>
  <c r="K23" i="1" s="1"/>
  <c r="L23" i="1" s="1"/>
  <c r="G23" i="1"/>
  <c r="F9" i="1"/>
  <c r="L33" i="1"/>
  <c r="L3" i="1"/>
  <c r="L29" i="1"/>
  <c r="L28" i="1"/>
  <c r="H34" i="1"/>
  <c r="I34" i="1"/>
  <c r="J34" i="1"/>
  <c r="K34" i="1" s="1"/>
  <c r="L34" i="1" s="1"/>
  <c r="G34" i="1"/>
  <c r="K29" i="1"/>
  <c r="H29" i="1"/>
  <c r="I29" i="1" s="1"/>
  <c r="J29" i="1" s="1"/>
  <c r="G29" i="1"/>
  <c r="F54" i="1"/>
  <c r="F48" i="1"/>
  <c r="F49" i="1" s="1"/>
  <c r="F42" i="1"/>
  <c r="F34" i="1"/>
  <c r="F29" i="1"/>
  <c r="K3" i="1"/>
  <c r="J3" i="1"/>
  <c r="I3" i="1"/>
  <c r="H3" i="1"/>
  <c r="G3" i="1"/>
  <c r="F3" i="1"/>
  <c r="F10" i="1"/>
  <c r="H10" i="1" s="1"/>
  <c r="I10" i="1" s="1"/>
  <c r="J10" i="1" s="1"/>
  <c r="K10" i="1" s="1"/>
  <c r="L10" i="1" s="1"/>
  <c r="C74" i="1" l="1"/>
  <c r="D74" i="1"/>
  <c r="E73" i="1"/>
  <c r="E71" i="1"/>
  <c r="E69" i="1"/>
  <c r="E67" i="1"/>
  <c r="E65" i="1"/>
  <c r="E61" i="1"/>
  <c r="E60" i="1"/>
  <c r="E57" i="1"/>
  <c r="E53" i="1"/>
  <c r="E47" i="1"/>
  <c r="E38" i="1"/>
  <c r="E31" i="1"/>
  <c r="E27" i="1"/>
  <c r="E21" i="1"/>
  <c r="E2" i="1"/>
</calcChain>
</file>

<file path=xl/sharedStrings.xml><?xml version="1.0" encoding="utf-8"?>
<sst xmlns="http://schemas.openxmlformats.org/spreadsheetml/2006/main" count="78" uniqueCount="78">
  <si>
    <t>Наименование</t>
  </si>
  <si>
    <t>1. Формующая машина "Тенсиланд" Т-9 ЕУ-8 (высота формовки 20 400мм), 2012 г.в.;</t>
  </si>
  <si>
    <t>2. Гидравлический барабан для кабеля, 2011 г.в.;</t>
  </si>
  <si>
    <t>3. Комплект электрических кабелей с электроразъёмами (для формующей машины, резательной, тележки для раскладки проволоки), 2011 г.в.;</t>
  </si>
  <si>
    <t>4. Пресс-форма для "Тенсиланд" Т-9 ЕV-8 (высота формовки до -400мм) для формования пустотных плит шириной 1200мм и высотой 220мм, 2012 г.в.;</t>
  </si>
  <si>
    <t>1. Лист металлопокрытия, 2011 г.в.;</t>
  </si>
  <si>
    <t>2. Фаскообразователь, 2011 г.в.;</t>
  </si>
  <si>
    <t>3. Элементы фиксации (прижимной упор), 2011 г.в.;</t>
  </si>
  <si>
    <t>4. Калиброванные рельсы, 2011 г.в.;</t>
  </si>
  <si>
    <t>5. Набор стандартного оборудования для дорожек, 2011 г.в.;</t>
  </si>
  <si>
    <t>6. Система подогрева формовочных дорожек, 2011 г.в.</t>
  </si>
  <si>
    <t>1. Стенд регулируемый, длиной 18 м для изготовления колонн и свай размером от 25x25 до 40x40, 2011 г.в.;</t>
  </si>
  <si>
    <t>2. Система подогрева стенда длиной 18 м для изготовленных колонн, 2011 г.в.;</t>
  </si>
  <si>
    <t>3. Бетоноукладчик для формования колонн и свай, 2011 г.в.;</t>
  </si>
  <si>
    <t>4. Емкость для подачи бетонной смеси, 2011 г.в.</t>
  </si>
  <si>
    <t>1. Конвейер винтовой с фланцевым соединением к силосу, 2011 г.в.;</t>
  </si>
  <si>
    <t>2. Бетоносмеситель 1500/1000 л со скипом (планетарный), 2011 г.в.;</t>
  </si>
  <si>
    <t>3. Удлинитель направляющих скипа, 2011 г.в.;</t>
  </si>
  <si>
    <t>4. Ленточный конвейер (питатель), 2011 г.в.;</t>
  </si>
  <si>
    <t>5. Горизонтальный реверсивный ленточный конвейер, 2011 г.в.;</t>
  </si>
  <si>
    <t>6. Весовой конвейер инертных ЛК-5 (1 шт.) с весовым дозатором СН (3 шт.), 2011 г.в.;</t>
  </si>
  <si>
    <t>7. Воронка, 2011 г.в.</t>
  </si>
  <si>
    <t>1. Ножницы СНЖ-172, 2011 г.в.;</t>
  </si>
  <si>
    <t>2. Стыковочная машина МСО-606, 2011 г.в.;</t>
  </si>
  <si>
    <t>3. Пила (для резки профиля) «ВОМАК», 2010 г.в.;</t>
  </si>
  <si>
    <t>4. Сварка под флюсом АДФ2001 или ТДФЖ 2002, 2011 г.в.;</t>
  </si>
  <si>
    <t>5. Машина контактной сварки (одноточка)- МТ-1928, 2011 г.в.;</t>
  </si>
  <si>
    <t>6. Машина контактной сварки подвесная МТП-1110  (TECNA), 2011 г.в.;</t>
  </si>
  <si>
    <t>7. Установка плазменной резки "SPECTRUM 125C", 2011 г.в.;</t>
  </si>
  <si>
    <t>8. Пистолет для вязки арматуры RВ 392 (395), 2011 г.в.;</t>
  </si>
  <si>
    <t>9. Правильно отрезная машина ПМ- 1 4, 2009 г.в.</t>
  </si>
  <si>
    <t>1.  Стенд с размерами 25 х 3.8 м с металлическим жестким каркасом, опорами, листом покрытия 10 мм, 2011 г.в.;</t>
  </si>
  <si>
    <t>2. Гидроцилиндры для подъема стенда (к-т.), 2011 г.в.;</t>
  </si>
  <si>
    <t>3. Съемный неподвижный борт с возможностью изменять высоту от 24 до 33см, 2011 г.в.;</t>
  </si>
  <si>
    <t>5. Оборудование для подогрева стендов, 2011 г.в.;</t>
  </si>
  <si>
    <t>6. Вибраторы с преобразователем частоты для укладки бетонной смеси (к-т.), 2011 г.в.</t>
  </si>
  <si>
    <t>1. Бортоснастка для изговления вент-блоков 7Б-073, 2009 г.в.;</t>
  </si>
  <si>
    <t>2. Бортоснастка для изговления вент-блоков 7Б-073-01, 2009 г.в.;</t>
  </si>
  <si>
    <t>3. Установка для выемки пуансонов при изготовлении вент-блоков, 2011 г.в.;</t>
  </si>
  <si>
    <t>4. Форма лестничных маршей, 2009 г.в.</t>
  </si>
  <si>
    <t>Турбогенератор С 1000  Capston из 5*С200, 2012 г.в.</t>
  </si>
  <si>
    <t>Печь варки базальта, 2012 г.в.</t>
  </si>
  <si>
    <t>1. Установка повышения давления Hydro MPC-E 4CRE32-2 4 kW №95044605, 2012 г.в.;</t>
  </si>
  <si>
    <t>2. Установка повышения давления Hydro MPC-E 4CRE32-3 №95044606, 2012 г.в.</t>
  </si>
  <si>
    <t>Грузовой бортовой KIA BONGO III, 2012 г.в.</t>
  </si>
  <si>
    <t>Полуприцеп цистерна цементовоз CIMC CTY9401GSN1, 2012 г.в.</t>
  </si>
  <si>
    <t>Грузовой самосвал SHAANXI SX3315DT366, 2012 г.в.</t>
  </si>
  <si>
    <t>Toyota Land Cruiser, 2011 г.в.</t>
  </si>
  <si>
    <t>Тягач седельный SHAANXI SX4257NХ324, 2012 г.в.</t>
  </si>
  <si>
    <t>Итого</t>
  </si>
  <si>
    <t>№ лота</t>
  </si>
  <si>
    <t xml:space="preserve">                 </t>
  </si>
  <si>
    <t>ПРИЛОЖЕНИЕ 1 НПЦ на вторых торгах, руб.</t>
  </si>
  <si>
    <t>ПРИЛОЖЕНИЕ 2 Цена отсечения, руб.</t>
  </si>
  <si>
    <r>
      <t>5.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Направляющая траверса для плит, 2012 г.в.;</t>
    </r>
  </si>
  <si>
    <r>
      <t>6.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Траверса для перемещения машин, 2011 г.в.;</t>
    </r>
  </si>
  <si>
    <r>
      <t>7.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Машина для поперечной резки плит 400 мм СR-1300, 2011 г.в.;</t>
    </r>
  </si>
  <si>
    <r>
      <t>8.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Алмазный диск диаметром 900мм., 2011 г.в.;</t>
    </r>
  </si>
  <si>
    <r>
      <t xml:space="preserve">9.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Установка снятия напряжения УСНЗ-30, 2011 г.в.;</t>
    </r>
  </si>
  <si>
    <r>
      <t>10.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Установка натяжения проволоки УНП, 2011 г.в.;</t>
    </r>
  </si>
  <si>
    <r>
      <t xml:space="preserve">11.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Цанги, 2011 г.в.;</t>
    </r>
  </si>
  <si>
    <r>
      <t xml:space="preserve">12.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ВТУЛКИ, 2011 г.в.;</t>
    </r>
  </si>
  <si>
    <r>
      <t xml:space="preserve">13.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Установка высокого давления для мойки машин, 2011 г.в.;</t>
    </r>
  </si>
  <si>
    <r>
      <t xml:space="preserve">14.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Защитное покрытие, 2011 г.в.;</t>
    </r>
  </si>
  <si>
    <r>
      <t xml:space="preserve">15.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Установка для раскладки защитного покрытия, 2011 г.в.;</t>
    </r>
  </si>
  <si>
    <r>
      <t xml:space="preserve">16.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Технологический захват для транспортировки плит, 2011 г.в.;</t>
    </r>
  </si>
  <si>
    <r>
      <t xml:space="preserve">17.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Заклёпочное устройство (СВГ), 2012 г.в.;</t>
    </r>
  </si>
  <si>
    <r>
      <t xml:space="preserve">18.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Емкость для подачи бетона мостовым краном, 2011 г.в.;</t>
    </r>
  </si>
  <si>
    <r>
      <t xml:space="preserve">19.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Набор зап.частей, 2011 г.в.</t>
    </r>
  </si>
  <si>
    <t>вторая неделя 7%  с 18.11.2019 (10ч00м)по 25.11.2019</t>
  </si>
  <si>
    <t>% с 16.11.2019 по 18.11.2019 (09ч55мин)</t>
  </si>
  <si>
    <t>третья неделя 7% с 25.11.2019 по 02.12.2019г.</t>
  </si>
  <si>
    <t>четвертая неделя 7% с 02.12.2019 по 09.12.2019</t>
  </si>
  <si>
    <t>пятая неделя 7% 09.12.2019 по 16.12.2019</t>
  </si>
  <si>
    <t>шестая неделя 7% 16.12.2019 по 23.12.2019</t>
  </si>
  <si>
    <t>седьмая неделя 7% с 23.12.2019 по 30.12.2019</t>
  </si>
  <si>
    <r>
      <t>восьмая неделя</t>
    </r>
    <r>
      <rPr>
        <b/>
        <sz val="10"/>
        <color rgb="FFFF0000"/>
        <rFont val="Calibri"/>
        <family val="2"/>
        <charset val="204"/>
        <scheme val="minor"/>
      </rPr>
      <t xml:space="preserve"> 2,4444% с 30.12.2019 по 06.01.2020г</t>
    </r>
  </si>
  <si>
    <t>девятая неделя 6% с 06.01.2020 по 13.01.2020г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</si>
</sst>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00\ _₽_-;\-* #,##0.0000\ _₽_-;_-* &quot;-&quot;????\ _₽_-;_-@_-"/>
    <numFmt numFmtId="165" formatCode="_-* #,##0.00000\ _₽_-;\-* #,##0.00000\ _₽_-;_-* &quot;-&quot;?????\ _₽_-;_-@_-"/>
    <numFmt numFmtId="166" formatCode="_-* #,##0.0000\ _₽_-;\-* #,##0.0000\ _₽_-;_-* &quot;-&quot;??\ _₽_-;_-@_-"/>
    <numFmt numFmtId="167" formatCode="_-* #,##0.0000\ _₽_-;\-* #,##0.0000\ _₽_-;_-* &quot;-&quot;???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wrapText="1"/>
    </xf>
    <xf numFmtId="43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3" fontId="3" fillId="4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43" fontId="6" fillId="0" borderId="0" xfId="0" applyNumberFormat="1" applyFont="1"/>
    <xf numFmtId="0" fontId="6" fillId="0" borderId="0" xfId="0" applyFont="1"/>
    <xf numFmtId="43" fontId="6" fillId="2" borderId="0" xfId="0" applyNumberFormat="1" applyFont="1" applyFill="1"/>
    <xf numFmtId="166" fontId="3" fillId="2" borderId="6" xfId="0" applyNumberFormat="1" applyFont="1" applyFill="1" applyBorder="1"/>
    <xf numFmtId="0" fontId="5" fillId="0" borderId="5" xfId="0" applyFont="1" applyBorder="1" applyAlignment="1">
      <alignment vertical="center" wrapText="1"/>
    </xf>
    <xf numFmtId="0" fontId="3" fillId="0" borderId="0" xfId="0" applyFont="1"/>
    <xf numFmtId="43" fontId="6" fillId="4" borderId="0" xfId="0" applyNumberFormat="1" applyFont="1" applyFill="1"/>
    <xf numFmtId="164" fontId="3" fillId="2" borderId="6" xfId="0" applyNumberFormat="1" applyFont="1" applyFill="1" applyBorder="1"/>
    <xf numFmtId="165" fontId="3" fillId="2" borderId="6" xfId="0" applyNumberFormat="1" applyFont="1" applyFill="1" applyBorder="1"/>
    <xf numFmtId="167" fontId="3" fillId="2" borderId="6" xfId="0" applyNumberFormat="1" applyFont="1" applyFill="1" applyBorder="1"/>
    <xf numFmtId="9" fontId="6" fillId="0" borderId="0" xfId="0" applyNumberFormat="1" applyFont="1"/>
    <xf numFmtId="9" fontId="3" fillId="2" borderId="9" xfId="0" applyNumberFormat="1" applyFont="1" applyFill="1" applyBorder="1" applyAlignment="1">
      <alignment horizontal="center"/>
    </xf>
    <xf numFmtId="0" fontId="6" fillId="4" borderId="0" xfId="0" applyFont="1" applyFill="1"/>
    <xf numFmtId="4" fontId="1" fillId="3" borderId="5" xfId="0" applyNumberFormat="1" applyFont="1" applyFill="1" applyBorder="1" applyAlignment="1">
      <alignment horizontal="center" vertical="center" wrapText="1"/>
    </xf>
    <xf numFmtId="10" fontId="1" fillId="3" borderId="5" xfId="0" applyNumberFormat="1" applyFont="1" applyFill="1" applyBorder="1" applyAlignment="1">
      <alignment horizontal="center" vertical="center" wrapText="1"/>
    </xf>
    <xf numFmtId="43" fontId="6" fillId="3" borderId="0" xfId="0" applyNumberFormat="1" applyFont="1" applyFill="1"/>
    <xf numFmtId="0" fontId="6" fillId="3" borderId="0" xfId="0" applyFont="1" applyFill="1"/>
    <xf numFmtId="10" fontId="1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3" fontId="3" fillId="4" borderId="0" xfId="0" applyNumberFormat="1" applyFont="1" applyFill="1" applyBorder="1" applyAlignment="1">
      <alignment vertical="center"/>
    </xf>
    <xf numFmtId="0" fontId="6" fillId="2" borderId="0" xfId="0" applyFont="1" applyFill="1"/>
    <xf numFmtId="43" fontId="6" fillId="4" borderId="0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/>
    <xf numFmtId="43" fontId="3" fillId="3" borderId="8" xfId="0" applyNumberFormat="1" applyFont="1" applyFill="1" applyBorder="1"/>
    <xf numFmtId="43" fontId="3" fillId="3" borderId="0" xfId="0" applyNumberFormat="1" applyFont="1" applyFill="1"/>
    <xf numFmtId="43" fontId="4" fillId="3" borderId="0" xfId="0" applyNumberFormat="1" applyFont="1" applyFill="1"/>
    <xf numFmtId="0" fontId="1" fillId="3" borderId="1" xfId="0" applyFont="1" applyFill="1" applyBorder="1" applyAlignment="1">
      <alignment horizontal="center" vertical="center" wrapText="1"/>
    </xf>
    <xf numFmtId="43" fontId="6" fillId="5" borderId="0" xfId="0" applyNumberFormat="1" applyFont="1" applyFill="1"/>
    <xf numFmtId="9" fontId="3" fillId="5" borderId="9" xfId="0" applyNumberFormat="1" applyFont="1" applyFill="1" applyBorder="1" applyAlignment="1">
      <alignment horizontal="center"/>
    </xf>
    <xf numFmtId="167" fontId="6" fillId="5" borderId="12" xfId="0" applyNumberFormat="1" applyFont="1" applyFill="1" applyBorder="1"/>
    <xf numFmtId="0" fontId="6" fillId="5" borderId="0" xfId="0" applyFont="1" applyFill="1"/>
    <xf numFmtId="43" fontId="6" fillId="5" borderId="10" xfId="0" applyNumberFormat="1" applyFont="1" applyFill="1" applyBorder="1"/>
    <xf numFmtId="43" fontId="3" fillId="5" borderId="10" xfId="0" applyNumberFormat="1" applyFont="1" applyFill="1" applyBorder="1"/>
    <xf numFmtId="4" fontId="1" fillId="5" borderId="1" xfId="0" applyNumberFormat="1" applyFont="1" applyFill="1" applyBorder="1" applyAlignment="1">
      <alignment horizontal="center" vertical="center" wrapText="1"/>
    </xf>
    <xf numFmtId="10" fontId="1" fillId="5" borderId="1" xfId="0" applyNumberFormat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/>
    <xf numFmtId="164" fontId="6" fillId="5" borderId="9" xfId="0" applyNumberFormat="1" applyFont="1" applyFill="1" applyBorder="1"/>
    <xf numFmtId="43" fontId="6" fillId="5" borderId="9" xfId="0" applyNumberFormat="1" applyFont="1" applyFill="1" applyBorder="1"/>
    <xf numFmtId="4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43" fontId="6" fillId="6" borderId="0" xfId="0" applyNumberFormat="1" applyFont="1" applyFill="1"/>
    <xf numFmtId="10" fontId="3" fillId="6" borderId="7" xfId="0" applyNumberFormat="1" applyFont="1" applyFill="1" applyBorder="1" applyAlignment="1">
      <alignment horizontal="center"/>
    </xf>
    <xf numFmtId="43" fontId="6" fillId="6" borderId="0" xfId="0" applyNumberFormat="1" applyFont="1" applyFill="1" applyBorder="1" applyAlignment="1">
      <alignment horizontal="center" vertical="center"/>
    </xf>
    <xf numFmtId="0" fontId="6" fillId="6" borderId="0" xfId="0" applyFont="1" applyFill="1"/>
    <xf numFmtId="43" fontId="6" fillId="6" borderId="11" xfId="0" applyNumberFormat="1" applyFont="1" applyFill="1" applyBorder="1"/>
    <xf numFmtId="43" fontId="3" fillId="6" borderId="8" xfId="0" applyNumberFormat="1" applyFont="1" applyFill="1" applyBorder="1"/>
    <xf numFmtId="43" fontId="6" fillId="6" borderId="7" xfId="0" applyNumberFormat="1" applyFont="1" applyFill="1" applyBorder="1"/>
    <xf numFmtId="9" fontId="3" fillId="6" borderId="9" xfId="0" applyNumberFormat="1" applyFont="1" applyFill="1" applyBorder="1" applyAlignment="1">
      <alignment horizontal="center"/>
    </xf>
    <xf numFmtId="43" fontId="6" fillId="5" borderId="0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" fontId="1" fillId="6" borderId="3" xfId="0" applyNumberFormat="1" applyFont="1" applyFill="1" applyBorder="1" applyAlignment="1">
      <alignment horizontal="center" vertical="center" wrapText="1"/>
    </xf>
    <xf numFmtId="4" fontId="1" fillId="6" borderId="4" xfId="0" applyNumberFormat="1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 wrapText="1"/>
    </xf>
    <xf numFmtId="43" fontId="6" fillId="4" borderId="0" xfId="0" applyNumberFormat="1" applyFont="1" applyFill="1" applyBorder="1" applyAlignment="1">
      <alignment horizontal="center" vertical="center"/>
    </xf>
    <xf numFmtId="43" fontId="6" fillId="6" borderId="0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1" fillId="5" borderId="3" xfId="0" applyNumberFormat="1" applyFont="1" applyFill="1" applyBorder="1" applyAlignment="1">
      <alignment horizontal="center" vertical="center" wrapText="1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5" borderId="3" xfId="0" applyNumberFormat="1" applyFont="1" applyFill="1" applyBorder="1" applyAlignment="1">
      <alignment horizontal="center" vertical="center" wrapText="1"/>
    </xf>
    <xf numFmtId="10" fontId="1" fillId="5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74"/>
  <sheetViews>
    <sheetView tabSelected="1" workbookViewId="0">
      <pane xSplit="4" ySplit="1" topLeftCell="I56" activePane="bottomRight" state="frozenSplit"/>
      <selection pane="topRight" activeCell="D1" sqref="D1"/>
      <selection pane="bottomLeft"/>
      <selection pane="bottomRight" activeCell="L73" sqref="L73"/>
    </sheetView>
  </sheetViews>
  <sheetFormatPr defaultRowHeight="12.75" x14ac:dyDescent="0.2"/>
  <cols>
    <col min="1" max="1" width="5.7109375" style="11" customWidth="1"/>
    <col min="2" max="2" width="56.7109375" style="11" customWidth="1"/>
    <col min="3" max="3" width="14.28515625" style="31" customWidth="1"/>
    <col min="4" max="4" width="15.28515625" style="26" customWidth="1"/>
    <col min="5" max="5" width="15.28515625" style="31" customWidth="1"/>
    <col min="6" max="6" width="16.7109375" style="10" customWidth="1"/>
    <col min="7" max="7" width="16.85546875" style="10" customWidth="1"/>
    <col min="8" max="8" width="16.140625" style="10" customWidth="1"/>
    <col min="9" max="9" width="16.42578125" style="10" customWidth="1"/>
    <col min="10" max="10" width="17.28515625" style="10" customWidth="1"/>
    <col min="11" max="11" width="16.7109375" style="10" customWidth="1"/>
    <col min="12" max="12" width="16.85546875" style="11" customWidth="1"/>
    <col min="13" max="13" width="17.5703125" style="11" customWidth="1"/>
    <col min="14" max="14" width="16" style="32" customWidth="1"/>
    <col min="15" max="15" width="16.28515625" style="11" customWidth="1"/>
    <col min="16" max="16384" width="9.140625" style="11"/>
  </cols>
  <sheetData>
    <row r="1" spans="1:14" s="8" customFormat="1" ht="51" x14ac:dyDescent="0.2">
      <c r="A1" s="2" t="s">
        <v>50</v>
      </c>
      <c r="B1" s="2" t="s">
        <v>0</v>
      </c>
      <c r="C1" s="3" t="s">
        <v>52</v>
      </c>
      <c r="D1" s="38" t="s">
        <v>53</v>
      </c>
      <c r="E1" s="3" t="s">
        <v>70</v>
      </c>
      <c r="F1" s="4" t="s">
        <v>69</v>
      </c>
      <c r="G1" s="4" t="s">
        <v>71</v>
      </c>
      <c r="H1" s="4" t="s">
        <v>72</v>
      </c>
      <c r="I1" s="4" t="s">
        <v>73</v>
      </c>
      <c r="J1" s="4" t="s">
        <v>74</v>
      </c>
      <c r="K1" s="4" t="s">
        <v>75</v>
      </c>
      <c r="L1" s="5" t="s">
        <v>76</v>
      </c>
      <c r="M1" s="6" t="s">
        <v>77</v>
      </c>
      <c r="N1" s="7"/>
    </row>
    <row r="2" spans="1:14" ht="26.25" thickBot="1" x14ac:dyDescent="0.25">
      <c r="A2" s="82">
        <v>1</v>
      </c>
      <c r="B2" s="9" t="s">
        <v>1</v>
      </c>
      <c r="C2" s="78">
        <v>4873377.79</v>
      </c>
      <c r="D2" s="79">
        <v>2707432.11</v>
      </c>
      <c r="E2" s="85">
        <f>D2/C2</f>
        <v>0.55555555646753996</v>
      </c>
      <c r="N2" s="70"/>
    </row>
    <row r="3" spans="1:14" ht="13.5" thickBot="1" x14ac:dyDescent="0.25">
      <c r="A3" s="82"/>
      <c r="B3" s="9" t="s">
        <v>2</v>
      </c>
      <c r="C3" s="78"/>
      <c r="D3" s="79"/>
      <c r="E3" s="85"/>
      <c r="F3" s="12">
        <f>341136.45</f>
        <v>341136.45</v>
      </c>
      <c r="G3" s="12">
        <f>341136.46</f>
        <v>341136.46</v>
      </c>
      <c r="H3" s="12">
        <f>341136.47</f>
        <v>341136.47</v>
      </c>
      <c r="I3" s="12">
        <f>341136.48</f>
        <v>341136.48</v>
      </c>
      <c r="J3" s="12">
        <f>341136.49</f>
        <v>341136.49</v>
      </c>
      <c r="K3" s="12">
        <f>341136.5</f>
        <v>341136.5</v>
      </c>
      <c r="L3" s="13">
        <f>C2*2.4444%</f>
        <v>119124.84669876</v>
      </c>
      <c r="N3" s="70"/>
    </row>
    <row r="4" spans="1:14" ht="38.25" x14ac:dyDescent="0.2">
      <c r="A4" s="82"/>
      <c r="B4" s="9" t="s">
        <v>3</v>
      </c>
      <c r="C4" s="78"/>
      <c r="D4" s="79"/>
      <c r="E4" s="85"/>
      <c r="N4" s="70"/>
    </row>
    <row r="5" spans="1:14" ht="38.25" x14ac:dyDescent="0.2">
      <c r="A5" s="82"/>
      <c r="B5" s="9" t="s">
        <v>4</v>
      </c>
      <c r="C5" s="78"/>
      <c r="D5" s="79"/>
      <c r="E5" s="85"/>
      <c r="N5" s="70"/>
    </row>
    <row r="6" spans="1:14" x14ac:dyDescent="0.2">
      <c r="A6" s="82"/>
      <c r="B6" s="9" t="s">
        <v>54</v>
      </c>
      <c r="C6" s="78"/>
      <c r="D6" s="79"/>
      <c r="E6" s="85"/>
      <c r="N6" s="70"/>
    </row>
    <row r="7" spans="1:14" x14ac:dyDescent="0.2">
      <c r="A7" s="82"/>
      <c r="B7" s="9" t="s">
        <v>55</v>
      </c>
      <c r="C7" s="78"/>
      <c r="D7" s="79"/>
      <c r="E7" s="85"/>
      <c r="N7" s="70"/>
    </row>
    <row r="8" spans="1:14" x14ac:dyDescent="0.2">
      <c r="A8" s="82"/>
      <c r="B8" s="9" t="s">
        <v>56</v>
      </c>
      <c r="C8" s="78"/>
      <c r="D8" s="79"/>
      <c r="E8" s="85"/>
      <c r="N8" s="70"/>
    </row>
    <row r="9" spans="1:14" x14ac:dyDescent="0.2">
      <c r="A9" s="82"/>
      <c r="B9" s="9" t="s">
        <v>57</v>
      </c>
      <c r="C9" s="78"/>
      <c r="D9" s="79"/>
      <c r="E9" s="85"/>
      <c r="F9" s="12">
        <f>C2*7%</f>
        <v>341136.44530000002</v>
      </c>
      <c r="N9" s="70"/>
    </row>
    <row r="10" spans="1:14" x14ac:dyDescent="0.2">
      <c r="A10" s="82"/>
      <c r="B10" s="9" t="s">
        <v>58</v>
      </c>
      <c r="C10" s="78"/>
      <c r="D10" s="79"/>
      <c r="E10" s="85"/>
      <c r="F10" s="10">
        <f>C2-(C2*7%)</f>
        <v>4532241.3447000002</v>
      </c>
      <c r="G10" s="10">
        <f>F10-341136.46</f>
        <v>4191104.8847000003</v>
      </c>
      <c r="H10" s="10">
        <f>G10-(341136.48)</f>
        <v>3849968.4047000003</v>
      </c>
      <c r="I10" s="10">
        <f t="shared" ref="I10:K10" si="0">H10-(341136.48)</f>
        <v>3508831.9247000003</v>
      </c>
      <c r="J10" s="10">
        <f t="shared" si="0"/>
        <v>3167695.4447000003</v>
      </c>
      <c r="K10" s="10">
        <f t="shared" si="0"/>
        <v>2826558.9647000004</v>
      </c>
      <c r="L10" s="36">
        <f>K10-(119124.85)</f>
        <v>2707434.1147000003</v>
      </c>
      <c r="M10" s="10"/>
      <c r="N10" s="70"/>
    </row>
    <row r="11" spans="1:14" x14ac:dyDescent="0.2">
      <c r="A11" s="82"/>
      <c r="B11" s="9" t="s">
        <v>59</v>
      </c>
      <c r="C11" s="78"/>
      <c r="D11" s="79"/>
      <c r="E11" s="85"/>
      <c r="N11" s="70"/>
    </row>
    <row r="12" spans="1:14" x14ac:dyDescent="0.2">
      <c r="A12" s="82"/>
      <c r="B12" s="9" t="s">
        <v>60</v>
      </c>
      <c r="C12" s="78"/>
      <c r="D12" s="79"/>
      <c r="E12" s="85"/>
      <c r="N12" s="70"/>
    </row>
    <row r="13" spans="1:14" x14ac:dyDescent="0.2">
      <c r="A13" s="82"/>
      <c r="B13" s="9" t="s">
        <v>61</v>
      </c>
      <c r="C13" s="78"/>
      <c r="D13" s="79"/>
      <c r="E13" s="85"/>
      <c r="N13" s="70"/>
    </row>
    <row r="14" spans="1:14" x14ac:dyDescent="0.2">
      <c r="A14" s="82"/>
      <c r="B14" s="9" t="s">
        <v>62</v>
      </c>
      <c r="C14" s="78"/>
      <c r="D14" s="79"/>
      <c r="E14" s="85"/>
      <c r="N14" s="70"/>
    </row>
    <row r="15" spans="1:14" x14ac:dyDescent="0.2">
      <c r="A15" s="82"/>
      <c r="B15" s="9" t="s">
        <v>63</v>
      </c>
      <c r="C15" s="78"/>
      <c r="D15" s="79"/>
      <c r="E15" s="85"/>
      <c r="N15" s="70"/>
    </row>
    <row r="16" spans="1:14" x14ac:dyDescent="0.2">
      <c r="A16" s="82"/>
      <c r="B16" s="9" t="s">
        <v>64</v>
      </c>
      <c r="C16" s="78"/>
      <c r="D16" s="79"/>
      <c r="E16" s="85"/>
      <c r="N16" s="70"/>
    </row>
    <row r="17" spans="1:14" x14ac:dyDescent="0.2">
      <c r="A17" s="82"/>
      <c r="B17" s="9" t="s">
        <v>65</v>
      </c>
      <c r="C17" s="78"/>
      <c r="D17" s="79"/>
      <c r="E17" s="85"/>
      <c r="N17" s="70"/>
    </row>
    <row r="18" spans="1:14" x14ac:dyDescent="0.2">
      <c r="A18" s="82"/>
      <c r="B18" s="9" t="s">
        <v>66</v>
      </c>
      <c r="C18" s="78"/>
      <c r="D18" s="79"/>
      <c r="E18" s="85"/>
      <c r="N18" s="70"/>
    </row>
    <row r="19" spans="1:14" x14ac:dyDescent="0.2">
      <c r="A19" s="82"/>
      <c r="B19" s="9" t="s">
        <v>67</v>
      </c>
      <c r="C19" s="78"/>
      <c r="D19" s="79"/>
      <c r="E19" s="85"/>
      <c r="N19" s="70"/>
    </row>
    <row r="20" spans="1:14" x14ac:dyDescent="0.2">
      <c r="A20" s="82"/>
      <c r="B20" s="14" t="s">
        <v>68</v>
      </c>
      <c r="C20" s="78"/>
      <c r="D20" s="79"/>
      <c r="E20" s="85"/>
      <c r="N20" s="70"/>
    </row>
    <row r="21" spans="1:14" ht="13.5" thickBot="1" x14ac:dyDescent="0.25">
      <c r="A21" s="82">
        <v>2</v>
      </c>
      <c r="B21" s="9" t="s">
        <v>5</v>
      </c>
      <c r="C21" s="78">
        <v>1963403.33</v>
      </c>
      <c r="D21" s="79">
        <v>1090779.6299999999</v>
      </c>
      <c r="E21" s="84">
        <f>D21/C21</f>
        <v>0.55555555668737699</v>
      </c>
      <c r="L21" s="15"/>
      <c r="N21" s="70"/>
    </row>
    <row r="22" spans="1:14" ht="13.5" thickBot="1" x14ac:dyDescent="0.25">
      <c r="A22" s="82"/>
      <c r="B22" s="9" t="s">
        <v>6</v>
      </c>
      <c r="C22" s="78"/>
      <c r="D22" s="79"/>
      <c r="E22" s="84"/>
      <c r="F22" s="12">
        <v>137438.23000000001</v>
      </c>
      <c r="H22" s="16"/>
      <c r="L22" s="13">
        <f>C21*2.4444%</f>
        <v>47993.430998520002</v>
      </c>
      <c r="N22" s="70"/>
    </row>
    <row r="23" spans="1:14" x14ac:dyDescent="0.2">
      <c r="A23" s="82"/>
      <c r="B23" s="9" t="s">
        <v>7</v>
      </c>
      <c r="C23" s="78"/>
      <c r="D23" s="79"/>
      <c r="E23" s="84"/>
      <c r="F23" s="10">
        <f>C21-F22</f>
        <v>1825965.1</v>
      </c>
      <c r="G23" s="10">
        <f>F23-(137438.23)</f>
        <v>1688526.87</v>
      </c>
      <c r="H23" s="10">
        <f t="shared" ref="H23:J23" si="1">G23-(137438.23)</f>
        <v>1551088.6400000001</v>
      </c>
      <c r="I23" s="10">
        <f t="shared" si="1"/>
        <v>1413650.4100000001</v>
      </c>
      <c r="J23" s="10">
        <f t="shared" si="1"/>
        <v>1276212.1800000002</v>
      </c>
      <c r="K23" s="10">
        <f>J23-(137438.23)</f>
        <v>1138773.9500000002</v>
      </c>
      <c r="L23" s="36">
        <f>K23-(47993.43)</f>
        <v>1090780.5200000003</v>
      </c>
      <c r="M23" s="10"/>
      <c r="N23" s="70"/>
    </row>
    <row r="24" spans="1:14" x14ac:dyDescent="0.2">
      <c r="A24" s="82"/>
      <c r="B24" s="9" t="s">
        <v>8</v>
      </c>
      <c r="C24" s="78"/>
      <c r="D24" s="79"/>
      <c r="E24" s="84"/>
      <c r="N24" s="70"/>
    </row>
    <row r="25" spans="1:14" x14ac:dyDescent="0.2">
      <c r="A25" s="82"/>
      <c r="B25" s="9" t="s">
        <v>9</v>
      </c>
      <c r="C25" s="78"/>
      <c r="D25" s="79"/>
      <c r="E25" s="84"/>
      <c r="N25" s="70"/>
    </row>
    <row r="26" spans="1:14" x14ac:dyDescent="0.2">
      <c r="A26" s="82"/>
      <c r="B26" s="14" t="s">
        <v>10</v>
      </c>
      <c r="C26" s="78"/>
      <c r="D26" s="79"/>
      <c r="E26" s="84"/>
      <c r="N26" s="70"/>
    </row>
    <row r="27" spans="1:14" ht="26.25" thickBot="1" x14ac:dyDescent="0.25">
      <c r="A27" s="82">
        <v>3</v>
      </c>
      <c r="B27" s="9" t="s">
        <v>11</v>
      </c>
      <c r="C27" s="78">
        <v>1506801.32</v>
      </c>
      <c r="D27" s="79">
        <v>837111.85</v>
      </c>
      <c r="E27" s="84">
        <f>D27/C27</f>
        <v>0.55555555924254163</v>
      </c>
      <c r="N27" s="70"/>
    </row>
    <row r="28" spans="1:14" ht="26.25" thickBot="1" x14ac:dyDescent="0.25">
      <c r="A28" s="82"/>
      <c r="B28" s="9" t="s">
        <v>12</v>
      </c>
      <c r="C28" s="78"/>
      <c r="D28" s="79"/>
      <c r="E28" s="84"/>
      <c r="F28" s="12">
        <v>105476.09</v>
      </c>
      <c r="L28" s="17">
        <f>C27*2.4444%</f>
        <v>36832.251466080001</v>
      </c>
      <c r="N28" s="70"/>
    </row>
    <row r="29" spans="1:14" x14ac:dyDescent="0.2">
      <c r="A29" s="82"/>
      <c r="B29" s="9" t="s">
        <v>13</v>
      </c>
      <c r="C29" s="78"/>
      <c r="D29" s="79"/>
      <c r="E29" s="84"/>
      <c r="F29" s="10">
        <f>C27-(F28)</f>
        <v>1401325.23</v>
      </c>
      <c r="G29" s="10">
        <f>F29-(105476.09)</f>
        <v>1295849.1399999999</v>
      </c>
      <c r="H29" s="10">
        <f t="shared" ref="H29:K29" si="2">G29-(105476.09)</f>
        <v>1190373.0499999998</v>
      </c>
      <c r="I29" s="10">
        <f t="shared" si="2"/>
        <v>1084896.9599999997</v>
      </c>
      <c r="J29" s="10">
        <f t="shared" si="2"/>
        <v>979420.86999999976</v>
      </c>
      <c r="K29" s="10">
        <f t="shared" si="2"/>
        <v>873944.7799999998</v>
      </c>
      <c r="L29" s="37">
        <f>K29-(36832.2515)</f>
        <v>837112.52849999978</v>
      </c>
      <c r="N29" s="70"/>
    </row>
    <row r="30" spans="1:14" x14ac:dyDescent="0.2">
      <c r="A30" s="82"/>
      <c r="B30" s="14" t="s">
        <v>14</v>
      </c>
      <c r="C30" s="78"/>
      <c r="D30" s="79"/>
      <c r="E30" s="84"/>
      <c r="N30" s="70"/>
    </row>
    <row r="31" spans="1:14" ht="25.5" x14ac:dyDescent="0.2">
      <c r="A31" s="87">
        <v>4</v>
      </c>
      <c r="B31" s="9" t="s">
        <v>15</v>
      </c>
      <c r="C31" s="78">
        <v>1319899.8400000001</v>
      </c>
      <c r="D31" s="79">
        <v>733277.69</v>
      </c>
      <c r="E31" s="84">
        <f>D31/C31</f>
        <v>0.5555555563973702</v>
      </c>
      <c r="N31" s="70"/>
    </row>
    <row r="32" spans="1:14" ht="13.5" thickBot="1" x14ac:dyDescent="0.25">
      <c r="A32" s="88"/>
      <c r="B32" s="9" t="s">
        <v>16</v>
      </c>
      <c r="C32" s="78"/>
      <c r="D32" s="79"/>
      <c r="E32" s="84"/>
      <c r="N32" s="70"/>
    </row>
    <row r="33" spans="1:14" ht="13.5" thickBot="1" x14ac:dyDescent="0.25">
      <c r="A33" s="88"/>
      <c r="B33" s="9" t="s">
        <v>17</v>
      </c>
      <c r="C33" s="78"/>
      <c r="D33" s="79"/>
      <c r="E33" s="84"/>
      <c r="F33" s="12">
        <v>92392.99</v>
      </c>
      <c r="L33" s="18">
        <f>C31*2.4444%</f>
        <v>32263.631688960002</v>
      </c>
      <c r="N33" s="70"/>
    </row>
    <row r="34" spans="1:14" x14ac:dyDescent="0.2">
      <c r="A34" s="88"/>
      <c r="B34" s="9" t="s">
        <v>18</v>
      </c>
      <c r="C34" s="78"/>
      <c r="D34" s="79"/>
      <c r="E34" s="84"/>
      <c r="F34" s="10">
        <f>C31-(F33)</f>
        <v>1227506.8500000001</v>
      </c>
      <c r="G34" s="10">
        <f>F34-(92392.99)</f>
        <v>1135113.8600000001</v>
      </c>
      <c r="H34" s="10">
        <f t="shared" ref="H34:K34" si="3">G34-(92392.99)</f>
        <v>1042720.8700000001</v>
      </c>
      <c r="I34" s="10">
        <f t="shared" si="3"/>
        <v>950327.88000000012</v>
      </c>
      <c r="J34" s="10">
        <f t="shared" si="3"/>
        <v>857934.89000000013</v>
      </c>
      <c r="K34" s="10">
        <f t="shared" si="3"/>
        <v>765541.90000000014</v>
      </c>
      <c r="L34" s="37">
        <f>K34-(32263.63169)</f>
        <v>733278.26831000019</v>
      </c>
      <c r="N34" s="70"/>
    </row>
    <row r="35" spans="1:14" x14ac:dyDescent="0.2">
      <c r="A35" s="88"/>
      <c r="B35" s="9" t="s">
        <v>19</v>
      </c>
      <c r="C35" s="78"/>
      <c r="D35" s="79"/>
      <c r="E35" s="84"/>
      <c r="N35" s="70"/>
    </row>
    <row r="36" spans="1:14" ht="25.5" x14ac:dyDescent="0.2">
      <c r="A36" s="88"/>
      <c r="B36" s="9" t="s">
        <v>20</v>
      </c>
      <c r="C36" s="78"/>
      <c r="D36" s="79"/>
      <c r="E36" s="84"/>
      <c r="N36" s="70"/>
    </row>
    <row r="37" spans="1:14" x14ac:dyDescent="0.2">
      <c r="A37" s="89"/>
      <c r="B37" s="14" t="s">
        <v>21</v>
      </c>
      <c r="C37" s="78"/>
      <c r="D37" s="79"/>
      <c r="E37" s="84"/>
      <c r="N37" s="70"/>
    </row>
    <row r="38" spans="1:14" x14ac:dyDescent="0.2">
      <c r="A38" s="82">
        <v>5</v>
      </c>
      <c r="B38" s="9" t="s">
        <v>22</v>
      </c>
      <c r="C38" s="78">
        <v>1059133.56</v>
      </c>
      <c r="D38" s="79">
        <v>588407.54</v>
      </c>
      <c r="E38" s="85">
        <f>D38/C38</f>
        <v>0.55555556185000876</v>
      </c>
      <c r="N38" s="70"/>
    </row>
    <row r="39" spans="1:14" ht="13.5" thickBot="1" x14ac:dyDescent="0.25">
      <c r="A39" s="82"/>
      <c r="B39" s="9" t="s">
        <v>23</v>
      </c>
      <c r="C39" s="78"/>
      <c r="D39" s="79"/>
      <c r="E39" s="85"/>
      <c r="N39" s="70"/>
    </row>
    <row r="40" spans="1:14" ht="13.5" thickBot="1" x14ac:dyDescent="0.25">
      <c r="A40" s="82"/>
      <c r="B40" s="9" t="s">
        <v>24</v>
      </c>
      <c r="C40" s="78"/>
      <c r="D40" s="79"/>
      <c r="E40" s="85"/>
      <c r="F40" s="12">
        <v>74139.350000000006</v>
      </c>
      <c r="L40" s="17">
        <f>C38*2.4444%</f>
        <v>25889.460740640003</v>
      </c>
      <c r="N40" s="70"/>
    </row>
    <row r="41" spans="1:14" x14ac:dyDescent="0.2">
      <c r="A41" s="82"/>
      <c r="B41" s="9" t="s">
        <v>25</v>
      </c>
      <c r="C41" s="78"/>
      <c r="D41" s="79"/>
      <c r="E41" s="85"/>
      <c r="N41" s="70"/>
    </row>
    <row r="42" spans="1:14" x14ac:dyDescent="0.2">
      <c r="A42" s="82"/>
      <c r="B42" s="9" t="s">
        <v>26</v>
      </c>
      <c r="C42" s="78"/>
      <c r="D42" s="79"/>
      <c r="E42" s="85"/>
      <c r="F42" s="10">
        <f>C38-(F40)</f>
        <v>984994.21000000008</v>
      </c>
      <c r="G42" s="10">
        <f>F42-(74139.35)</f>
        <v>910854.8600000001</v>
      </c>
      <c r="H42" s="10">
        <f t="shared" ref="H42:K42" si="4">G42-(74139.35)</f>
        <v>836715.51000000013</v>
      </c>
      <c r="I42" s="10">
        <f t="shared" si="4"/>
        <v>762576.16000000015</v>
      </c>
      <c r="J42" s="10">
        <f t="shared" si="4"/>
        <v>688436.81000000017</v>
      </c>
      <c r="K42" s="10">
        <f t="shared" si="4"/>
        <v>614297.4600000002</v>
      </c>
      <c r="L42" s="36">
        <f>K42-L40</f>
        <v>588407.99925936013</v>
      </c>
      <c r="N42" s="70"/>
    </row>
    <row r="43" spans="1:14" ht="25.5" x14ac:dyDescent="0.2">
      <c r="A43" s="82"/>
      <c r="B43" s="9" t="s">
        <v>27</v>
      </c>
      <c r="C43" s="78"/>
      <c r="D43" s="79"/>
      <c r="E43" s="85"/>
      <c r="N43" s="70"/>
    </row>
    <row r="44" spans="1:14" x14ac:dyDescent="0.2">
      <c r="A44" s="82"/>
      <c r="B44" s="9" t="s">
        <v>28</v>
      </c>
      <c r="C44" s="78"/>
      <c r="D44" s="79"/>
      <c r="E44" s="85"/>
      <c r="N44" s="70"/>
    </row>
    <row r="45" spans="1:14" x14ac:dyDescent="0.2">
      <c r="A45" s="82"/>
      <c r="B45" s="9" t="s">
        <v>29</v>
      </c>
      <c r="C45" s="78"/>
      <c r="D45" s="79"/>
      <c r="E45" s="85"/>
      <c r="N45" s="70"/>
    </row>
    <row r="46" spans="1:14" x14ac:dyDescent="0.2">
      <c r="A46" s="82"/>
      <c r="B46" s="14" t="s">
        <v>30</v>
      </c>
      <c r="C46" s="78"/>
      <c r="D46" s="79"/>
      <c r="E46" s="85"/>
      <c r="N46" s="70"/>
    </row>
    <row r="47" spans="1:14" ht="26.25" thickBot="1" x14ac:dyDescent="0.25">
      <c r="A47" s="82">
        <v>6</v>
      </c>
      <c r="B47" s="9" t="s">
        <v>31</v>
      </c>
      <c r="C47" s="78">
        <v>2094917.52</v>
      </c>
      <c r="D47" s="79">
        <v>1163843.07</v>
      </c>
      <c r="E47" s="85">
        <f>D47/C47</f>
        <v>0.55555555714670812</v>
      </c>
      <c r="N47" s="70"/>
    </row>
    <row r="48" spans="1:14" ht="13.5" thickBot="1" x14ac:dyDescent="0.25">
      <c r="A48" s="82"/>
      <c r="B48" s="9" t="s">
        <v>32</v>
      </c>
      <c r="C48" s="78"/>
      <c r="D48" s="79"/>
      <c r="E48" s="85"/>
      <c r="F48" s="12">
        <f>C47*7%</f>
        <v>146644.22640000001</v>
      </c>
      <c r="L48" s="19">
        <f>C47*2.4444%</f>
        <v>51208.163858879998</v>
      </c>
      <c r="N48" s="70"/>
    </row>
    <row r="49" spans="1:95" ht="25.5" x14ac:dyDescent="0.2">
      <c r="A49" s="82"/>
      <c r="B49" s="9" t="s">
        <v>33</v>
      </c>
      <c r="C49" s="78"/>
      <c r="D49" s="79"/>
      <c r="E49" s="85"/>
      <c r="F49" s="10">
        <f>C47-(F48)</f>
        <v>1948273.2936</v>
      </c>
      <c r="G49" s="10">
        <f>F49-(146644.23)</f>
        <v>1801629.0636</v>
      </c>
      <c r="H49" s="10">
        <f t="shared" ref="H49:K49" si="5">G49-(146644.23)</f>
        <v>1654984.8336</v>
      </c>
      <c r="I49" s="10">
        <f t="shared" si="5"/>
        <v>1508340.6036</v>
      </c>
      <c r="J49" s="10">
        <f t="shared" si="5"/>
        <v>1361696.3736</v>
      </c>
      <c r="K49" s="10">
        <f t="shared" si="5"/>
        <v>1215052.1436000001</v>
      </c>
      <c r="L49" s="36">
        <f>K49-L48</f>
        <v>1163843.97974112</v>
      </c>
      <c r="N49" s="70"/>
    </row>
    <row r="50" spans="1:95" x14ac:dyDescent="0.2">
      <c r="A50" s="82"/>
      <c r="B50" s="9" t="s">
        <v>51</v>
      </c>
      <c r="C50" s="78"/>
      <c r="D50" s="79"/>
      <c r="E50" s="85"/>
      <c r="N50" s="70"/>
    </row>
    <row r="51" spans="1:95" x14ac:dyDescent="0.2">
      <c r="A51" s="82"/>
      <c r="B51" s="9" t="s">
        <v>34</v>
      </c>
      <c r="C51" s="78"/>
      <c r="D51" s="79"/>
      <c r="E51" s="85"/>
      <c r="N51" s="70"/>
    </row>
    <row r="52" spans="1:95" ht="26.25" thickBot="1" x14ac:dyDescent="0.25">
      <c r="A52" s="82"/>
      <c r="B52" s="14" t="s">
        <v>35</v>
      </c>
      <c r="C52" s="78"/>
      <c r="D52" s="79"/>
      <c r="E52" s="85"/>
      <c r="N52" s="70"/>
    </row>
    <row r="53" spans="1:95" ht="13.5" thickBot="1" x14ac:dyDescent="0.25">
      <c r="A53" s="82">
        <v>7</v>
      </c>
      <c r="B53" s="9" t="s">
        <v>36</v>
      </c>
      <c r="C53" s="78">
        <v>694484.59</v>
      </c>
      <c r="D53" s="79">
        <v>385824.77</v>
      </c>
      <c r="E53" s="85">
        <f>D53/C53</f>
        <v>0.55555555235574061</v>
      </c>
      <c r="F53" s="12">
        <v>48613.919999999998</v>
      </c>
      <c r="L53" s="18">
        <f>C53*2.4444%</f>
        <v>16975.981317959999</v>
      </c>
      <c r="N53" s="70"/>
    </row>
    <row r="54" spans="1:95" x14ac:dyDescent="0.2">
      <c r="A54" s="82"/>
      <c r="B54" s="9" t="s">
        <v>37</v>
      </c>
      <c r="C54" s="78"/>
      <c r="D54" s="79"/>
      <c r="E54" s="85"/>
      <c r="F54" s="10">
        <f>C53-(F53)</f>
        <v>645870.66999999993</v>
      </c>
      <c r="G54" s="10">
        <f>F54-(48613.92)</f>
        <v>597256.74999999988</v>
      </c>
      <c r="H54" s="10">
        <f t="shared" ref="H54:K54" si="6">G54-(48613.92)</f>
        <v>548642.82999999984</v>
      </c>
      <c r="I54" s="10">
        <f t="shared" si="6"/>
        <v>500028.90999999986</v>
      </c>
      <c r="J54" s="10">
        <f t="shared" si="6"/>
        <v>451414.98999999987</v>
      </c>
      <c r="K54" s="10">
        <f t="shared" si="6"/>
        <v>402801.06999999989</v>
      </c>
      <c r="L54" s="36">
        <f>K54-(L53)</f>
        <v>385825.08868203987</v>
      </c>
      <c r="N54" s="70"/>
    </row>
    <row r="55" spans="1:95" ht="26.25" thickBot="1" x14ac:dyDescent="0.25">
      <c r="A55" s="82"/>
      <c r="B55" s="9" t="s">
        <v>38</v>
      </c>
      <c r="C55" s="78"/>
      <c r="D55" s="79"/>
      <c r="E55" s="85"/>
      <c r="N55" s="70"/>
    </row>
    <row r="56" spans="1:95" ht="13.5" thickBot="1" x14ac:dyDescent="0.25">
      <c r="A56" s="82"/>
      <c r="B56" s="9" t="s">
        <v>39</v>
      </c>
      <c r="C56" s="78"/>
      <c r="D56" s="79"/>
      <c r="E56" s="85"/>
      <c r="L56" s="20"/>
      <c r="M56" s="21">
        <v>0.06</v>
      </c>
      <c r="N56" s="70"/>
    </row>
    <row r="57" spans="1:95" s="42" customFormat="1" x14ac:dyDescent="0.2">
      <c r="A57" s="74">
        <v>8</v>
      </c>
      <c r="B57" s="97" t="s">
        <v>40</v>
      </c>
      <c r="C57" s="76">
        <v>22069209.039999999</v>
      </c>
      <c r="D57" s="76">
        <v>9931144.0700000003</v>
      </c>
      <c r="E57" s="80">
        <f>D57/C57</f>
        <v>0.45000000009062402</v>
      </c>
      <c r="F57" s="39">
        <f>C57*7%</f>
        <v>1544844.6328</v>
      </c>
      <c r="G57" s="39"/>
      <c r="H57" s="39"/>
      <c r="I57" s="39"/>
      <c r="J57" s="39"/>
      <c r="K57" s="39"/>
      <c r="L57" s="40">
        <v>7.0000000000000007E-2</v>
      </c>
      <c r="M57" s="41">
        <f>C57*6%</f>
        <v>1324152.5423999999</v>
      </c>
      <c r="N57" s="60"/>
    </row>
    <row r="58" spans="1:95" s="42" customFormat="1" ht="13.5" thickBot="1" x14ac:dyDescent="0.25">
      <c r="A58" s="75"/>
      <c r="B58" s="97"/>
      <c r="C58" s="77"/>
      <c r="D58" s="77"/>
      <c r="E58" s="81"/>
      <c r="F58" s="39">
        <f>C57-(F57)</f>
        <v>20524364.407199997</v>
      </c>
      <c r="G58" s="39">
        <f>F58-(1544844.63)</f>
        <v>18979519.777199998</v>
      </c>
      <c r="H58" s="39">
        <f t="shared" ref="H58:L58" si="7">G58-(1544844.63)</f>
        <v>17434675.1472</v>
      </c>
      <c r="I58" s="39">
        <f t="shared" si="7"/>
        <v>15889830.517200001</v>
      </c>
      <c r="J58" s="39">
        <f t="shared" si="7"/>
        <v>14344985.887200002</v>
      </c>
      <c r="K58" s="39">
        <f t="shared" si="7"/>
        <v>12800141.257200003</v>
      </c>
      <c r="L58" s="43">
        <f t="shared" si="7"/>
        <v>11255296.627200004</v>
      </c>
      <c r="M58" s="44">
        <f>L58-(M57)</f>
        <v>9931144.0848000031</v>
      </c>
      <c r="N58" s="60"/>
      <c r="O58" s="39"/>
    </row>
    <row r="59" spans="1:95" s="26" customFormat="1" x14ac:dyDescent="0.2">
      <c r="A59" s="93">
        <v>9</v>
      </c>
      <c r="B59" s="95" t="s">
        <v>41</v>
      </c>
      <c r="C59" s="91">
        <v>1466213.33</v>
      </c>
      <c r="D59" s="23"/>
      <c r="E59" s="24"/>
      <c r="F59" s="12">
        <f>C59*7%</f>
        <v>102634.93310000001</v>
      </c>
      <c r="G59" s="25"/>
      <c r="H59" s="25"/>
      <c r="I59" s="25"/>
      <c r="J59" s="25"/>
      <c r="K59" s="25"/>
      <c r="L59" s="34">
        <f>C59*2.4445%</f>
        <v>35841.584851850006</v>
      </c>
      <c r="M59" s="22"/>
      <c r="N59" s="70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</row>
    <row r="60" spans="1:95" s="26" customFormat="1" ht="13.5" thickBot="1" x14ac:dyDescent="0.25">
      <c r="A60" s="94"/>
      <c r="B60" s="96"/>
      <c r="C60" s="92"/>
      <c r="D60" s="33">
        <v>814562.96</v>
      </c>
      <c r="E60" s="27">
        <f>D60/C59</f>
        <v>0.55555555479774554</v>
      </c>
      <c r="F60" s="25">
        <f>C59-F59</f>
        <v>1363578.3969000001</v>
      </c>
      <c r="G60" s="25">
        <f>F60-102634.93</f>
        <v>1260943.4669000001</v>
      </c>
      <c r="H60" s="25">
        <f t="shared" ref="H60:K60" si="8">G60-102634.93</f>
        <v>1158308.5369000002</v>
      </c>
      <c r="I60" s="25">
        <f t="shared" si="8"/>
        <v>1055673.6069000002</v>
      </c>
      <c r="J60" s="25">
        <f t="shared" si="8"/>
        <v>953038.67690000031</v>
      </c>
      <c r="K60" s="25">
        <f t="shared" si="8"/>
        <v>850403.74690000038</v>
      </c>
      <c r="L60" s="35">
        <f>K60-35841.58</f>
        <v>814562.16690000042</v>
      </c>
      <c r="M60" s="16"/>
      <c r="N60" s="7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</row>
    <row r="61" spans="1:95" s="26" customFormat="1" ht="25.5" x14ac:dyDescent="0.2">
      <c r="A61" s="90">
        <v>10</v>
      </c>
      <c r="B61" s="28" t="s">
        <v>42</v>
      </c>
      <c r="C61" s="78">
        <v>825876.59</v>
      </c>
      <c r="D61" s="79">
        <v>458820.33</v>
      </c>
      <c r="E61" s="86">
        <f>D61/C61</f>
        <v>0.55555555824629932</v>
      </c>
      <c r="F61" s="12">
        <f>C61*7%</f>
        <v>57811.361300000004</v>
      </c>
      <c r="G61" s="25"/>
      <c r="H61" s="25"/>
      <c r="I61" s="25"/>
      <c r="J61" s="25"/>
      <c r="K61" s="25"/>
      <c r="L61" s="34">
        <f>C61*2.4444%</f>
        <v>20187.72736596</v>
      </c>
      <c r="M61" s="22"/>
      <c r="N61" s="70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</row>
    <row r="62" spans="1:95" s="26" customFormat="1" ht="26.25" thickBot="1" x14ac:dyDescent="0.25">
      <c r="A62" s="90"/>
      <c r="B62" s="28" t="s">
        <v>43</v>
      </c>
      <c r="C62" s="78"/>
      <c r="D62" s="79"/>
      <c r="E62" s="86"/>
      <c r="F62" s="25">
        <f>C61-F61</f>
        <v>768065.22869999998</v>
      </c>
      <c r="G62" s="25">
        <f>F62-57811.36</f>
        <v>710253.86869999999</v>
      </c>
      <c r="H62" s="25">
        <f t="shared" ref="H62:K62" si="9">G62-57811.36</f>
        <v>652442.50870000001</v>
      </c>
      <c r="I62" s="25">
        <f t="shared" si="9"/>
        <v>594631.14870000002</v>
      </c>
      <c r="J62" s="25">
        <f t="shared" si="9"/>
        <v>536819.78870000003</v>
      </c>
      <c r="K62" s="25">
        <f t="shared" si="9"/>
        <v>479008.42870000005</v>
      </c>
      <c r="L62" s="35">
        <f>K62-20187.73</f>
        <v>458820.69870000007</v>
      </c>
      <c r="M62" s="16"/>
      <c r="N62" s="70"/>
      <c r="O62" s="16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</row>
    <row r="63" spans="1:95" s="55" customFormat="1" x14ac:dyDescent="0.2">
      <c r="A63" s="64">
        <v>11</v>
      </c>
      <c r="B63" s="61" t="s">
        <v>44</v>
      </c>
      <c r="C63" s="67">
        <v>602699.4</v>
      </c>
      <c r="D63" s="50"/>
      <c r="E63" s="51"/>
      <c r="F63" s="52"/>
      <c r="G63" s="52"/>
      <c r="H63" s="52"/>
      <c r="I63" s="53">
        <v>1.23E-2</v>
      </c>
      <c r="J63" s="52"/>
      <c r="K63" s="52"/>
      <c r="L63" s="52"/>
      <c r="M63" s="52"/>
      <c r="N63" s="54"/>
      <c r="O63" s="52"/>
    </row>
    <row r="64" spans="1:95" s="55" customFormat="1" x14ac:dyDescent="0.2">
      <c r="A64" s="65"/>
      <c r="B64" s="62"/>
      <c r="C64" s="68"/>
      <c r="D64" s="50"/>
      <c r="E64" s="51"/>
      <c r="F64" s="52">
        <f>C63*7%</f>
        <v>42188.958000000006</v>
      </c>
      <c r="G64" s="52"/>
      <c r="H64" s="52"/>
      <c r="I64" s="56">
        <f>C63*1.23%</f>
        <v>7413.20262</v>
      </c>
      <c r="J64" s="52"/>
      <c r="K64" s="52"/>
      <c r="L64" s="52"/>
      <c r="M64" s="52"/>
      <c r="N64" s="71"/>
      <c r="O64" s="52"/>
    </row>
    <row r="65" spans="1:15" s="55" customFormat="1" ht="13.5" thickBot="1" x14ac:dyDescent="0.25">
      <c r="A65" s="66"/>
      <c r="B65" s="63"/>
      <c r="C65" s="69"/>
      <c r="D65" s="50">
        <v>468766.2</v>
      </c>
      <c r="E65" s="51">
        <f>D65/C63</f>
        <v>0.77777777777777779</v>
      </c>
      <c r="F65" s="52">
        <f>C63-F64</f>
        <v>560510.44200000004</v>
      </c>
      <c r="G65" s="52">
        <f>F65-42188.96</f>
        <v>518321.48200000002</v>
      </c>
      <c r="H65" s="52">
        <f>G65-(42188.96)</f>
        <v>476132.522</v>
      </c>
      <c r="I65" s="57">
        <f>H65-I64</f>
        <v>468719.31938</v>
      </c>
      <c r="J65" s="52"/>
      <c r="K65" s="52"/>
      <c r="L65" s="52"/>
      <c r="M65" s="52"/>
      <c r="N65" s="71"/>
    </row>
    <row r="66" spans="1:15" s="55" customFormat="1" ht="13.5" thickBot="1" x14ac:dyDescent="0.25">
      <c r="A66" s="64">
        <v>12</v>
      </c>
      <c r="B66" s="61" t="s">
        <v>45</v>
      </c>
      <c r="C66" s="67">
        <v>810000</v>
      </c>
      <c r="D66" s="50"/>
      <c r="E66" s="51"/>
      <c r="F66" s="52">
        <f>C66*7%</f>
        <v>56700.000000000007</v>
      </c>
      <c r="G66" s="52"/>
      <c r="H66" s="52"/>
      <c r="I66" s="58">
        <f>C66*1.23%</f>
        <v>9963</v>
      </c>
      <c r="J66" s="52"/>
      <c r="K66" s="52"/>
      <c r="L66" s="52"/>
      <c r="M66" s="52"/>
      <c r="N66" s="71"/>
    </row>
    <row r="67" spans="1:15" s="55" customFormat="1" ht="13.5" thickBot="1" x14ac:dyDescent="0.25">
      <c r="A67" s="66"/>
      <c r="B67" s="63"/>
      <c r="C67" s="69"/>
      <c r="D67" s="50">
        <v>630000</v>
      </c>
      <c r="E67" s="51">
        <f>D67/C66</f>
        <v>0.77777777777777779</v>
      </c>
      <c r="F67" s="52">
        <f>C66-F66</f>
        <v>753300</v>
      </c>
      <c r="G67" s="52">
        <f>F67-(56700)</f>
        <v>696600</v>
      </c>
      <c r="H67" s="52">
        <f t="shared" ref="H67" si="10">G67-(56700)</f>
        <v>639900</v>
      </c>
      <c r="I67" s="57">
        <f>H67-I66</f>
        <v>629937</v>
      </c>
      <c r="J67" s="52"/>
      <c r="K67" s="52"/>
      <c r="M67" s="59">
        <v>0.06</v>
      </c>
      <c r="N67" s="71"/>
    </row>
    <row r="68" spans="1:15" s="42" customFormat="1" x14ac:dyDescent="0.2">
      <c r="A68" s="74">
        <v>13</v>
      </c>
      <c r="B68" s="72" t="s">
        <v>46</v>
      </c>
      <c r="C68" s="76">
        <v>1559999.7</v>
      </c>
      <c r="D68" s="45"/>
      <c r="E68" s="46"/>
      <c r="F68" s="39">
        <f>C68*7%</f>
        <v>109199.97900000001</v>
      </c>
      <c r="G68" s="39"/>
      <c r="H68" s="39"/>
      <c r="I68" s="39"/>
      <c r="J68" s="39"/>
      <c r="K68" s="39"/>
      <c r="M68" s="47">
        <f>C68*6%</f>
        <v>93599.981999999989</v>
      </c>
      <c r="N68" s="60"/>
    </row>
    <row r="69" spans="1:15" s="42" customFormat="1" ht="13.5" thickBot="1" x14ac:dyDescent="0.25">
      <c r="A69" s="75"/>
      <c r="B69" s="73"/>
      <c r="C69" s="77"/>
      <c r="D69" s="45">
        <v>701999.87</v>
      </c>
      <c r="E69" s="46">
        <f>D69/C68</f>
        <v>0.45000000320512884</v>
      </c>
      <c r="F69" s="39">
        <f>C68-F68</f>
        <v>1450799.7209999999</v>
      </c>
      <c r="G69" s="39">
        <f>F69-109199.98</f>
        <v>1341599.7409999999</v>
      </c>
      <c r="H69" s="39">
        <f t="shared" ref="H69:L69" si="11">G69-109199.98</f>
        <v>1232399.7609999999</v>
      </c>
      <c r="I69" s="39">
        <f t="shared" si="11"/>
        <v>1123199.781</v>
      </c>
      <c r="J69" s="39">
        <f t="shared" si="11"/>
        <v>1013999.801</v>
      </c>
      <c r="K69" s="39">
        <f t="shared" si="11"/>
        <v>904799.821</v>
      </c>
      <c r="L69" s="39">
        <f t="shared" si="11"/>
        <v>795599.84100000001</v>
      </c>
      <c r="M69" s="43">
        <f>L69-93599.98</f>
        <v>701999.86100000003</v>
      </c>
      <c r="N69" s="60"/>
    </row>
    <row r="70" spans="1:15" s="42" customFormat="1" x14ac:dyDescent="0.2">
      <c r="A70" s="74">
        <v>14</v>
      </c>
      <c r="B70" s="72" t="s">
        <v>47</v>
      </c>
      <c r="C70" s="76">
        <v>2136000.0099999998</v>
      </c>
      <c r="D70" s="45"/>
      <c r="E70" s="46"/>
      <c r="F70" s="39">
        <f>C70*7%</f>
        <v>149520.0007</v>
      </c>
      <c r="G70" s="39"/>
      <c r="H70" s="39"/>
      <c r="I70" s="39"/>
      <c r="J70" s="39"/>
      <c r="K70" s="39"/>
      <c r="M70" s="48">
        <f>C70*6%</f>
        <v>128160.00059999998</v>
      </c>
      <c r="N70" s="60"/>
    </row>
    <row r="71" spans="1:15" s="42" customFormat="1" ht="13.5" thickBot="1" x14ac:dyDescent="0.25">
      <c r="A71" s="75"/>
      <c r="B71" s="73"/>
      <c r="C71" s="77"/>
      <c r="D71" s="45">
        <v>961200</v>
      </c>
      <c r="E71" s="46">
        <f>D71/C70</f>
        <v>0.44999999789325851</v>
      </c>
      <c r="F71" s="39">
        <f>C70-F70</f>
        <v>1986480.0092999998</v>
      </c>
      <c r="G71" s="39">
        <f>F71-149520</f>
        <v>1836960.0092999998</v>
      </c>
      <c r="H71" s="39">
        <f t="shared" ref="H71:L71" si="12">G71-149520</f>
        <v>1687440.0092999998</v>
      </c>
      <c r="I71" s="39">
        <f t="shared" si="12"/>
        <v>1537920.0092999998</v>
      </c>
      <c r="J71" s="39">
        <f t="shared" si="12"/>
        <v>1388400.0092999998</v>
      </c>
      <c r="K71" s="39">
        <f t="shared" si="12"/>
        <v>1238880.0092999998</v>
      </c>
      <c r="L71" s="39">
        <f t="shared" si="12"/>
        <v>1089360.0092999998</v>
      </c>
      <c r="M71" s="44">
        <f>L71-M70</f>
        <v>961200.00869999977</v>
      </c>
      <c r="N71" s="60"/>
      <c r="O71" s="39"/>
    </row>
    <row r="72" spans="1:15" s="42" customFormat="1" x14ac:dyDescent="0.2">
      <c r="A72" s="74">
        <v>15</v>
      </c>
      <c r="B72" s="72" t="s">
        <v>48</v>
      </c>
      <c r="C72" s="76">
        <v>1395000</v>
      </c>
      <c r="D72" s="76">
        <v>627750</v>
      </c>
      <c r="E72" s="46"/>
      <c r="F72" s="39">
        <f>C72*7%</f>
        <v>97650.000000000015</v>
      </c>
      <c r="G72" s="39"/>
      <c r="H72" s="39"/>
      <c r="I72" s="39"/>
      <c r="J72" s="39"/>
      <c r="K72" s="39"/>
      <c r="M72" s="49">
        <f>C72*6%</f>
        <v>83700</v>
      </c>
      <c r="N72" s="60"/>
    </row>
    <row r="73" spans="1:15" s="42" customFormat="1" ht="13.5" thickBot="1" x14ac:dyDescent="0.25">
      <c r="A73" s="75"/>
      <c r="B73" s="73"/>
      <c r="C73" s="77"/>
      <c r="D73" s="77"/>
      <c r="E73" s="46">
        <f>D72/C72</f>
        <v>0.45</v>
      </c>
      <c r="F73" s="39">
        <f>C72-F72</f>
        <v>1297350</v>
      </c>
      <c r="G73" s="39">
        <f>F73-97650</f>
        <v>1199700</v>
      </c>
      <c r="H73" s="39">
        <f t="shared" ref="H73:L73" si="13">G73-97650</f>
        <v>1102050</v>
      </c>
      <c r="I73" s="39">
        <f t="shared" si="13"/>
        <v>1004400</v>
      </c>
      <c r="J73" s="39">
        <f t="shared" si="13"/>
        <v>906750</v>
      </c>
      <c r="K73" s="39">
        <f t="shared" si="13"/>
        <v>809100</v>
      </c>
      <c r="L73" s="39">
        <f t="shared" si="13"/>
        <v>711450</v>
      </c>
      <c r="M73" s="44">
        <f>L73-M72</f>
        <v>627750</v>
      </c>
      <c r="N73" s="60"/>
    </row>
    <row r="74" spans="1:15" x14ac:dyDescent="0.2">
      <c r="A74" s="83" t="s">
        <v>49</v>
      </c>
      <c r="B74" s="83"/>
      <c r="C74" s="1">
        <f>SUM(C2:C72)</f>
        <v>44377016.020000003</v>
      </c>
      <c r="D74" s="33">
        <f>SUM(D2:D72)</f>
        <v>22100920.09</v>
      </c>
      <c r="E74" s="29"/>
      <c r="N74" s="30"/>
    </row>
  </sheetData>
  <mergeCells count="72">
    <mergeCell ref="A70:A71"/>
    <mergeCell ref="A68:A69"/>
    <mergeCell ref="B68:B69"/>
    <mergeCell ref="A57:A58"/>
    <mergeCell ref="A59:A60"/>
    <mergeCell ref="B59:B60"/>
    <mergeCell ref="B57:B58"/>
    <mergeCell ref="C66:C67"/>
    <mergeCell ref="E2:E20"/>
    <mergeCell ref="D2:D20"/>
    <mergeCell ref="A21:A26"/>
    <mergeCell ref="C21:C26"/>
    <mergeCell ref="E21:E26"/>
    <mergeCell ref="D21:D26"/>
    <mergeCell ref="A2:A20"/>
    <mergeCell ref="C2:C20"/>
    <mergeCell ref="A38:A46"/>
    <mergeCell ref="C38:C46"/>
    <mergeCell ref="D27:D30"/>
    <mergeCell ref="C31:C37"/>
    <mergeCell ref="A74:B74"/>
    <mergeCell ref="E27:E30"/>
    <mergeCell ref="E31:E37"/>
    <mergeCell ref="E38:E46"/>
    <mergeCell ref="E47:E52"/>
    <mergeCell ref="E53:E56"/>
    <mergeCell ref="E61:E62"/>
    <mergeCell ref="A31:A37"/>
    <mergeCell ref="D53:D56"/>
    <mergeCell ref="A61:A62"/>
    <mergeCell ref="C61:C62"/>
    <mergeCell ref="D61:D62"/>
    <mergeCell ref="A53:A56"/>
    <mergeCell ref="C59:C60"/>
    <mergeCell ref="A66:A67"/>
    <mergeCell ref="B66:B67"/>
    <mergeCell ref="D38:D46"/>
    <mergeCell ref="A47:A52"/>
    <mergeCell ref="N2:N20"/>
    <mergeCell ref="N21:N26"/>
    <mergeCell ref="N27:N30"/>
    <mergeCell ref="N31:N37"/>
    <mergeCell ref="N38:N46"/>
    <mergeCell ref="N47:N52"/>
    <mergeCell ref="D31:D37"/>
    <mergeCell ref="A27:A30"/>
    <mergeCell ref="C27:C30"/>
    <mergeCell ref="N57:N58"/>
    <mergeCell ref="N59:N60"/>
    <mergeCell ref="C47:C52"/>
    <mergeCell ref="D47:D52"/>
    <mergeCell ref="C57:C58"/>
    <mergeCell ref="D57:D58"/>
    <mergeCell ref="E57:E58"/>
    <mergeCell ref="C53:C56"/>
    <mergeCell ref="N53:N56"/>
    <mergeCell ref="N72:N73"/>
    <mergeCell ref="B63:B65"/>
    <mergeCell ref="A63:A65"/>
    <mergeCell ref="C63:C65"/>
    <mergeCell ref="N61:N62"/>
    <mergeCell ref="N64:N65"/>
    <mergeCell ref="N66:N67"/>
    <mergeCell ref="N68:N69"/>
    <mergeCell ref="N70:N71"/>
    <mergeCell ref="B72:B73"/>
    <mergeCell ref="A72:A73"/>
    <mergeCell ref="C72:C73"/>
    <mergeCell ref="D72:D73"/>
    <mergeCell ref="C68:C69"/>
    <mergeCell ref="C70:C71"/>
    <mergeCell ref="B70:B71"/>
  </mergeCells>
  <pageMargins left="0" right="0" top="0.74803149606299213" bottom="0.74803149606299213" header="0.31496062992125984" footer="0.31496062992125984"/>
  <pageSetup paperSize="9" scale="59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Россельхозбанк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Замятина Яна Андреевна</dc:creator>
  <cp:lastModifiedBy>НЛК</cp:lastModifiedBy>
  <cp:lastPrinted>2019-10-28T06:03:36Z</cp:lastPrinted>
  <dcterms:created xsi:type="dcterms:W3CDTF">2019-10-16T05:57:09Z</dcterms:created>
  <dcterms:modified xsi:type="dcterms:W3CDTF">2019-11-15T10:29:58Z</dcterms:modified>
</cp:coreProperties>
</file>