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989"/>
  </bookViews>
  <sheets>
    <sheet name="Производство прод-ции 2016-2017" sheetId="2" r:id="rId1"/>
  </sheets>
  <definedNames>
    <definedName name="__xlfn_AGGREGATE">NA()</definedName>
    <definedName name="_xlnm.Print_Titles" localSheetId="0">('Производство прод-ции 2016-2017'!$B:$B,'Производство прод-ции 2016-2017'!$2:$5)</definedName>
  </definedNames>
  <calcPr calcId="125725" iterateDelta="1E-4"/>
</workbook>
</file>

<file path=xl/calcChain.xml><?xml version="1.0" encoding="utf-8"?>
<calcChain xmlns="http://schemas.openxmlformats.org/spreadsheetml/2006/main">
  <c r="N146" i="2"/>
  <c r="N145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03"/>
  <c r="O92"/>
  <c r="O93"/>
  <c r="O94"/>
  <c r="O95"/>
  <c r="O96"/>
  <c r="O97"/>
  <c r="O98"/>
  <c r="O99"/>
  <c r="O100"/>
  <c r="O91"/>
  <c r="N97"/>
  <c r="N100"/>
  <c r="N113"/>
  <c r="N124"/>
  <c r="N117"/>
  <c r="N110"/>
  <c r="N137"/>
  <c r="N115"/>
  <c r="N112"/>
  <c r="N89"/>
  <c r="O84"/>
  <c r="O76"/>
  <c r="O77"/>
  <c r="O78"/>
  <c r="O79"/>
  <c r="O80"/>
  <c r="O81"/>
  <c r="O82"/>
  <c r="O83"/>
  <c r="N84"/>
  <c r="O19"/>
  <c r="N19"/>
  <c r="O15"/>
  <c r="O16"/>
  <c r="O17"/>
  <c r="O18"/>
  <c r="O20"/>
  <c r="O14"/>
  <c r="O10"/>
  <c r="O11"/>
  <c r="O12"/>
  <c r="O9"/>
  <c r="M84"/>
  <c r="M146"/>
  <c r="M147" s="1"/>
  <c r="M101"/>
  <c r="M19"/>
  <c r="O21"/>
  <c r="O22"/>
  <c r="L147"/>
  <c r="L101"/>
  <c r="L84"/>
  <c r="L19"/>
  <c r="J84"/>
  <c r="K84"/>
  <c r="K147"/>
  <c r="J147"/>
  <c r="O89"/>
  <c r="K101"/>
  <c r="J101"/>
  <c r="I147"/>
  <c r="I101"/>
  <c r="N101" l="1"/>
  <c r="N147"/>
  <c r="O147" s="1"/>
  <c r="I148"/>
  <c r="J148"/>
  <c r="K89" s="1"/>
  <c r="O101"/>
  <c r="K148"/>
  <c r="L89" s="1"/>
  <c r="L148" s="1"/>
  <c r="M89" s="1"/>
  <c r="M148" s="1"/>
  <c r="N148" l="1"/>
  <c r="O148"/>
  <c r="K19"/>
  <c r="J19"/>
  <c r="H147"/>
  <c r="H101"/>
  <c r="H148" s="1"/>
  <c r="G148"/>
  <c r="G147"/>
  <c r="G101"/>
  <c r="I84"/>
  <c r="G84"/>
  <c r="H77" l="1"/>
  <c r="H78"/>
  <c r="H79"/>
  <c r="H80"/>
  <c r="H81"/>
  <c r="H82"/>
  <c r="H83"/>
  <c r="H76"/>
  <c r="H10"/>
  <c r="H11"/>
  <c r="H12"/>
  <c r="H14"/>
  <c r="H15"/>
  <c r="H17"/>
  <c r="H18"/>
  <c r="H19"/>
  <c r="H20"/>
  <c r="H21"/>
  <c r="H22"/>
  <c r="H9"/>
  <c r="F106" l="1"/>
  <c r="F109"/>
  <c r="F114"/>
  <c r="F121"/>
  <c r="F122"/>
  <c r="F131"/>
  <c r="F89"/>
  <c r="E146"/>
  <c r="E138"/>
  <c r="F138" s="1"/>
  <c r="E137"/>
  <c r="F137" s="1"/>
  <c r="E136"/>
  <c r="F136" s="1"/>
  <c r="E134"/>
  <c r="F134" s="1"/>
  <c r="E130"/>
  <c r="E128"/>
  <c r="F128" s="1"/>
  <c r="E126"/>
  <c r="F126" s="1"/>
  <c r="E124"/>
  <c r="E119"/>
  <c r="E117"/>
  <c r="E116"/>
  <c r="F116" s="1"/>
  <c r="E115"/>
  <c r="E112"/>
  <c r="F112" s="1"/>
  <c r="E110"/>
  <c r="E108"/>
  <c r="F108" s="1"/>
  <c r="E103"/>
  <c r="D146"/>
  <c r="D124"/>
  <c r="D117"/>
  <c r="D115"/>
  <c r="F115" s="1"/>
  <c r="D113"/>
  <c r="F113" s="1"/>
  <c r="D110"/>
  <c r="D107"/>
  <c r="C146"/>
  <c r="C130"/>
  <c r="F130" s="1"/>
  <c r="C129"/>
  <c r="F129" s="1"/>
  <c r="C127"/>
  <c r="F127" s="1"/>
  <c r="C124"/>
  <c r="C119"/>
  <c r="F119" s="1"/>
  <c r="C118"/>
  <c r="F118" s="1"/>
  <c r="C117"/>
  <c r="C111"/>
  <c r="F111" s="1"/>
  <c r="C110"/>
  <c r="C103"/>
  <c r="F94"/>
  <c r="F98"/>
  <c r="F99"/>
  <c r="F91"/>
  <c r="E100"/>
  <c r="E97"/>
  <c r="E96"/>
  <c r="E92"/>
  <c r="D100"/>
  <c r="D97"/>
  <c r="D96"/>
  <c r="F96" s="1"/>
  <c r="C100"/>
  <c r="C97"/>
  <c r="C93"/>
  <c r="F93" s="1"/>
  <c r="C92"/>
  <c r="F81"/>
  <c r="F79"/>
  <c r="F78"/>
  <c r="F76"/>
  <c r="F77"/>
  <c r="F80"/>
  <c r="F82"/>
  <c r="F83"/>
  <c r="D84"/>
  <c r="H84" s="1"/>
  <c r="E84"/>
  <c r="C84"/>
  <c r="F84" l="1"/>
  <c r="F100"/>
  <c r="F146"/>
  <c r="F110"/>
  <c r="F124"/>
  <c r="F97"/>
  <c r="F117"/>
  <c r="C147"/>
  <c r="F103"/>
  <c r="D147"/>
  <c r="F107"/>
  <c r="D101"/>
  <c r="E147"/>
  <c r="C101"/>
  <c r="F92"/>
  <c r="E101"/>
  <c r="C148" l="1"/>
  <c r="D89" s="1"/>
  <c r="D148" s="1"/>
  <c r="E89" s="1"/>
  <c r="E148" s="1"/>
  <c r="F101"/>
  <c r="F148" s="1"/>
  <c r="F147"/>
  <c r="F10"/>
  <c r="F11"/>
  <c r="F12"/>
  <c r="F13"/>
  <c r="F14"/>
  <c r="F15"/>
  <c r="F16"/>
  <c r="F17"/>
  <c r="F18"/>
  <c r="F20"/>
  <c r="F21"/>
  <c r="F22"/>
  <c r="F9"/>
</calcChain>
</file>

<file path=xl/sharedStrings.xml><?xml version="1.0" encoding="utf-8"?>
<sst xmlns="http://schemas.openxmlformats.org/spreadsheetml/2006/main" count="228" uniqueCount="159">
  <si>
    <t>№ п/п</t>
  </si>
  <si>
    <t>Показатели</t>
  </si>
  <si>
    <t>Животноводство</t>
  </si>
  <si>
    <t>Наличие коров в общем поголовье на конец периода (гол)</t>
  </si>
  <si>
    <t>Наличие молодняка на конец периода  (гол)</t>
  </si>
  <si>
    <t>Валовой надой молока (ц)</t>
  </si>
  <si>
    <t>Удой молока на 1 корову (кг)</t>
  </si>
  <si>
    <t>Сдано  молока (ц)</t>
  </si>
  <si>
    <t>Зачтено молока (ц)</t>
  </si>
  <si>
    <t>Получено телят (гол)</t>
  </si>
  <si>
    <t>Получено привеса КРС (ц)</t>
  </si>
  <si>
    <t>Реализация  (выбраковка) скота  на мясо (в ж. в.):</t>
  </si>
  <si>
    <t>всего  сдано голов</t>
  </si>
  <si>
    <t>живая масса всего –ц</t>
  </si>
  <si>
    <t>средний вес 1 головы -кг</t>
  </si>
  <si>
    <t>Реализовано   телят (гол)</t>
  </si>
  <si>
    <t>Растениеводство (га.)</t>
  </si>
  <si>
    <t>Произведён сев:</t>
  </si>
  <si>
    <t>овёс</t>
  </si>
  <si>
    <t>ячмень</t>
  </si>
  <si>
    <t>софлор</t>
  </si>
  <si>
    <t>яровая пшеница</t>
  </si>
  <si>
    <t>подсолнечник "Белоснежка"</t>
  </si>
  <si>
    <t xml:space="preserve">подсолнечник </t>
  </si>
  <si>
    <t>многолетние травы под покров</t>
  </si>
  <si>
    <t>озимая пшеница под урожай 2017г.</t>
  </si>
  <si>
    <t>Вспашка зяби</t>
  </si>
  <si>
    <t>Внесение гербицидов</t>
  </si>
  <si>
    <t>Обработка полей  БДМ (дискование)</t>
  </si>
  <si>
    <t>Ворошение валков сена</t>
  </si>
  <si>
    <t xml:space="preserve">Культивация </t>
  </si>
  <si>
    <t>Переворачивание валков</t>
  </si>
  <si>
    <t>Подбор валков</t>
  </si>
  <si>
    <t>Подбор двойных валков</t>
  </si>
  <si>
    <t>Покос зеленой массы</t>
  </si>
  <si>
    <t>Покос куветов</t>
  </si>
  <si>
    <t xml:space="preserve">Трамбовка зеленой массы </t>
  </si>
  <si>
    <t>Транспортировка зеленой массы</t>
  </si>
  <si>
    <t xml:space="preserve">Прямое комбайнирование </t>
  </si>
  <si>
    <t>Произведено продукции растениеводства:</t>
  </si>
  <si>
    <t>Зеленая масса люцерны</t>
  </si>
  <si>
    <t>центнеров</t>
  </si>
  <si>
    <t>Зеленая масса овса</t>
  </si>
  <si>
    <t>Зеленая масса эспарцета</t>
  </si>
  <si>
    <t>Зеленая масса подсолнечника</t>
  </si>
  <si>
    <t>Сенаж</t>
  </si>
  <si>
    <t>Ячмень зерно</t>
  </si>
  <si>
    <t>Пшеница озимая на зерно</t>
  </si>
  <si>
    <t>Сено естественных трав</t>
  </si>
  <si>
    <t>Пшеница яровая</t>
  </si>
  <si>
    <t>Тритикале озимая</t>
  </si>
  <si>
    <t>Ячмень солома</t>
  </si>
  <si>
    <t>Силос</t>
  </si>
  <si>
    <t>Сафлор</t>
  </si>
  <si>
    <t>СЕНТЯБРЬ 2016</t>
  </si>
  <si>
    <t>72часа</t>
  </si>
  <si>
    <t>641тонна</t>
  </si>
  <si>
    <t>Зеленая масса кукурузы</t>
  </si>
  <si>
    <t>ОКТЯБРЬ 2016</t>
  </si>
  <si>
    <t>НОЯБРЬ 2016</t>
  </si>
  <si>
    <t>Уборка подсолнечника</t>
  </si>
  <si>
    <t>Кукуруза на зерно</t>
  </si>
  <si>
    <t xml:space="preserve">Подсолнечник </t>
  </si>
  <si>
    <t>Падеж, гол.</t>
  </si>
  <si>
    <t>Падеж, ц</t>
  </si>
  <si>
    <t>Итого за сентябрь-ноябрь 2016</t>
  </si>
  <si>
    <t>Реализация товаров ООО "Донагрогаз"</t>
  </si>
  <si>
    <t>Номенклатура</t>
  </si>
  <si>
    <t>Выручка с НДС, тыс.руб.</t>
  </si>
  <si>
    <t>Бычок голштинский</t>
  </si>
  <si>
    <t>Молоко</t>
  </si>
  <si>
    <t>Зерно</t>
  </si>
  <si>
    <t>Прочие услуги</t>
  </si>
  <si>
    <t>Прочее</t>
  </si>
  <si>
    <t>Итого</t>
  </si>
  <si>
    <t>Тёлки (выбраковка)</t>
  </si>
  <si>
    <t>Коровы на откорме (выбраковка)</t>
  </si>
  <si>
    <t>Подсолнечник</t>
  </si>
  <si>
    <t>Движение денежных средств (сч. 50 и  сч. 51) ООО "Донагрогаз"</t>
  </si>
  <si>
    <t>Статья доходов и расходов</t>
  </si>
  <si>
    <t>Остаток денежных средст на начало периода</t>
  </si>
  <si>
    <t>Доходы</t>
  </si>
  <si>
    <t>Мясо КРС в живом весе, забой скота</t>
  </si>
  <si>
    <t xml:space="preserve">Продажа молодняка КРС </t>
  </si>
  <si>
    <t>Арендная плата за пользование земельным участком</t>
  </si>
  <si>
    <t>Аренда помещений</t>
  </si>
  <si>
    <t>Аренда техники</t>
  </si>
  <si>
    <t>Аренда автомобиля</t>
  </si>
  <si>
    <t>Транспортные услуги</t>
  </si>
  <si>
    <t>Прочие доходы</t>
  </si>
  <si>
    <t>Итого доходы</t>
  </si>
  <si>
    <t>Расходы</t>
  </si>
  <si>
    <t>Заработная плата( к выдаче)</t>
  </si>
  <si>
    <t>Средства защиты растений</t>
  </si>
  <si>
    <t>Корма (покупка)</t>
  </si>
  <si>
    <t>Ветмедикаменты и оборудование</t>
  </si>
  <si>
    <t>Семя для искусственного осеменения</t>
  </si>
  <si>
    <t>Запасные части , услуги по ремонту</t>
  </si>
  <si>
    <t xml:space="preserve">Техобслуживание </t>
  </si>
  <si>
    <t xml:space="preserve">ГСМ -всего </t>
  </si>
  <si>
    <t>Электроэнергия</t>
  </si>
  <si>
    <t>Услуги рабочей силы (охрана)</t>
  </si>
  <si>
    <t>Газ, сжиженый газ</t>
  </si>
  <si>
    <t>Водоснабжение</t>
  </si>
  <si>
    <t>Услуги связи</t>
  </si>
  <si>
    <t>информационно-консультационные услуги</t>
  </si>
  <si>
    <t>Лицензии, ветсвидетельства, ветуслуги</t>
  </si>
  <si>
    <t>Аренда земли под производственными объектами</t>
  </si>
  <si>
    <t>Аренда с/х участков</t>
  </si>
  <si>
    <t>Стройматериалы</t>
  </si>
  <si>
    <t>Продукты питания</t>
  </si>
  <si>
    <t>Канцтовары, бытовая химия</t>
  </si>
  <si>
    <t>Командировочные расходы</t>
  </si>
  <si>
    <t>Услуги нотариуса и госпошлины</t>
  </si>
  <si>
    <t>Страхование</t>
  </si>
  <si>
    <t>Налоги -всего</t>
  </si>
  <si>
    <t>Услуги банка</t>
  </si>
  <si>
    <t>Прочие расходы</t>
  </si>
  <si>
    <t>ИТОГО расходы</t>
  </si>
  <si>
    <t>остаток на конец периода</t>
  </si>
  <si>
    <t>Хозинвентарь, бытовая техника, электроматериалы,  инструмент, ТМЦ , сенажные, силосные закваски и др.</t>
  </si>
  <si>
    <t>Затраты на охрану труда и ТБ, экология и др.</t>
  </si>
  <si>
    <t>ДЕКАБРЬ 2016</t>
  </si>
  <si>
    <t>Итого 4 квартал</t>
  </si>
  <si>
    <t>Итого за год</t>
  </si>
  <si>
    <t>гектаров</t>
  </si>
  <si>
    <t>час</t>
  </si>
  <si>
    <t>тонн</t>
  </si>
  <si>
    <t>Семена</t>
  </si>
  <si>
    <t>Аренда автомобиля, транспортных ср-в, техники, оборудования</t>
  </si>
  <si>
    <t>Строительство мельницы</t>
  </si>
  <si>
    <t>Приобретение ОС</t>
  </si>
  <si>
    <t>Уборка кукурузы на зерно</t>
  </si>
  <si>
    <t>Итого за 2016 год</t>
  </si>
  <si>
    <t>Показатели  производства  продукции    по  ООО « Донагрогаз» за    2016-2017 годы</t>
  </si>
  <si>
    <t>2017 год</t>
  </si>
  <si>
    <t>январь</t>
  </si>
  <si>
    <t>февраль</t>
  </si>
  <si>
    <t>2016 год</t>
  </si>
  <si>
    <t>Обучение, повышение квалификации</t>
  </si>
  <si>
    <t>Ремонт оргтехники, заправка картриджей, зарядка огнетушителе и др.</t>
  </si>
  <si>
    <t>Ремонт транспорта</t>
  </si>
  <si>
    <t>Сопровождение и обслуживание программного обеспечения 1с</t>
  </si>
  <si>
    <t>Электроматериалы</t>
  </si>
  <si>
    <t>Оплата работ, услуг и других оборотных активов</t>
  </si>
  <si>
    <t>Аудиторские услуги</t>
  </si>
  <si>
    <t>Средняя цена реализации молока с НДС, руб за 1кг. Зач веса</t>
  </si>
  <si>
    <t>март</t>
  </si>
  <si>
    <t>Удобрения</t>
  </si>
  <si>
    <t>Вспомогательные материалы, сырьё</t>
  </si>
  <si>
    <t>Колибровка бензовоза, поверка и ремонт изм. Приборов</t>
  </si>
  <si>
    <t>Медосмотр</t>
  </si>
  <si>
    <t>апрель</t>
  </si>
  <si>
    <t xml:space="preserve">Боронование  зяби и паров </t>
  </si>
  <si>
    <t>на 02.05.2017</t>
  </si>
  <si>
    <t>Итого за январь-26 мая</t>
  </si>
  <si>
    <t>МАЙ -на 26 мая</t>
  </si>
  <si>
    <t xml:space="preserve">кукуруза </t>
  </si>
  <si>
    <t>Зерно оз. пшеницы</t>
  </si>
</sst>
</file>

<file path=xl/styles.xml><?xml version="1.0" encoding="utf-8"?>
<styleSheet xmlns="http://schemas.openxmlformats.org/spreadsheetml/2006/main">
  <numFmts count="1">
    <numFmt numFmtId="164" formatCode="#,##0.0"/>
  </numFmts>
  <fonts count="15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1"/>
    </font>
    <font>
      <b/>
      <sz val="10"/>
      <name val="Arial"/>
      <family val="2"/>
      <charset val="204"/>
    </font>
    <font>
      <sz val="11"/>
      <name val="Times New Roman"/>
      <family val="1"/>
      <charset val="1"/>
    </font>
    <font>
      <b/>
      <i/>
      <sz val="10"/>
      <name val="Arial"/>
      <family val="2"/>
      <charset val="204"/>
    </font>
    <font>
      <i/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</cellStyleXfs>
  <cellXfs count="120">
    <xf numFmtId="0" fontId="0" fillId="0" borderId="0" xfId="0"/>
    <xf numFmtId="0" fontId="12" fillId="0" borderId="0" xfId="5"/>
    <xf numFmtId="0" fontId="3" fillId="0" borderId="0" xfId="5" applyFont="1"/>
    <xf numFmtId="0" fontId="12" fillId="0" borderId="0" xfId="5" applyBorder="1"/>
    <xf numFmtId="0" fontId="4" fillId="0" borderId="0" xfId="5" applyFont="1" applyBorder="1" applyAlignment="1"/>
    <xf numFmtId="0" fontId="12" fillId="0" borderId="0" xfId="5" applyFill="1"/>
    <xf numFmtId="0" fontId="12" fillId="0" borderId="1" xfId="5" applyBorder="1"/>
    <xf numFmtId="0" fontId="9" fillId="0" borderId="1" xfId="5" applyFont="1" applyBorder="1"/>
    <xf numFmtId="0" fontId="5" fillId="0" borderId="1" xfId="5" applyFont="1" applyBorder="1" applyAlignment="1">
      <alignment vertical="center"/>
    </xf>
    <xf numFmtId="0" fontId="5" fillId="0" borderId="1" xfId="5" applyFont="1" applyBorder="1"/>
    <xf numFmtId="3" fontId="5" fillId="0" borderId="1" xfId="5" applyNumberFormat="1" applyFont="1" applyBorder="1"/>
    <xf numFmtId="3" fontId="5" fillId="0" borderId="1" xfId="5" applyNumberFormat="1" applyFont="1" applyFill="1" applyBorder="1" applyAlignment="1"/>
    <xf numFmtId="3" fontId="5" fillId="0" borderId="1" xfId="5" applyNumberFormat="1" applyFont="1" applyBorder="1" applyAlignment="1">
      <alignment horizontal="right" wrapText="1"/>
    </xf>
    <xf numFmtId="4" fontId="5" fillId="0" borderId="1" xfId="5" applyNumberFormat="1" applyFont="1" applyBorder="1" applyAlignment="1">
      <alignment vertical="center"/>
    </xf>
    <xf numFmtId="0" fontId="9" fillId="0" borderId="1" xfId="5" applyFont="1" applyBorder="1" applyAlignment="1"/>
    <xf numFmtId="0" fontId="9" fillId="0" borderId="1" xfId="5" applyFont="1" applyBorder="1" applyAlignment="1">
      <alignment horizontal="right"/>
    </xf>
    <xf numFmtId="0" fontId="5" fillId="0" borderId="1" xfId="5" applyFont="1" applyBorder="1" applyAlignment="1">
      <alignment vertical="center" wrapText="1"/>
    </xf>
    <xf numFmtId="3" fontId="5" fillId="0" borderId="1" xfId="5" applyNumberFormat="1" applyFont="1" applyFill="1" applyBorder="1"/>
    <xf numFmtId="0" fontId="5" fillId="0" borderId="1" xfId="5" applyFont="1" applyBorder="1" applyAlignment="1">
      <alignment horizontal="left" vertical="center"/>
    </xf>
    <xf numFmtId="0" fontId="0" fillId="0" borderId="1" xfId="5" applyFont="1" applyBorder="1"/>
    <xf numFmtId="0" fontId="5" fillId="0" borderId="1" xfId="5" applyFont="1" applyBorder="1" applyAlignment="1">
      <alignment horizontal="center"/>
    </xf>
    <xf numFmtId="0" fontId="5" fillId="0" borderId="1" xfId="5" applyFont="1" applyBorder="1" applyAlignment="1">
      <alignment horizontal="justify" vertical="top" wrapText="1"/>
    </xf>
    <xf numFmtId="0" fontId="5" fillId="0" borderId="1" xfId="5" applyFont="1" applyFill="1" applyBorder="1" applyAlignment="1">
      <alignment horizontal="justify" vertical="top" wrapText="1"/>
    </xf>
    <xf numFmtId="0" fontId="11" fillId="0" borderId="1" xfId="5" applyFont="1" applyBorder="1" applyAlignment="1">
      <alignment horizontal="justify" vertical="top" wrapText="1"/>
    </xf>
    <xf numFmtId="0" fontId="5" fillId="0" borderId="1" xfId="5" applyFont="1" applyBorder="1" applyAlignment="1">
      <alignment vertical="top" wrapText="1"/>
    </xf>
    <xf numFmtId="0" fontId="5" fillId="0" borderId="1" xfId="5" applyFont="1" applyBorder="1" applyAlignment="1">
      <alignment wrapText="1"/>
    </xf>
    <xf numFmtId="3" fontId="12" fillId="0" borderId="1" xfId="5" applyNumberFormat="1" applyBorder="1"/>
    <xf numFmtId="4" fontId="12" fillId="0" borderId="1" xfId="5" applyNumberFormat="1" applyBorder="1"/>
    <xf numFmtId="0" fontId="5" fillId="0" borderId="1" xfId="5" applyFont="1" applyBorder="1" applyAlignment="1">
      <alignment horizontal="center" vertical="center"/>
    </xf>
    <xf numFmtId="49" fontId="14" fillId="0" borderId="1" xfId="5" applyNumberFormat="1" applyFont="1" applyBorder="1" applyAlignment="1">
      <alignment horizontal="center" vertical="center" wrapText="1"/>
    </xf>
    <xf numFmtId="0" fontId="14" fillId="0" borderId="1" xfId="5" applyFont="1" applyBorder="1"/>
    <xf numFmtId="3" fontId="14" fillId="0" borderId="1" xfId="5" applyNumberFormat="1" applyFont="1" applyBorder="1"/>
    <xf numFmtId="0" fontId="14" fillId="0" borderId="1" xfId="7" applyFont="1" applyBorder="1"/>
    <xf numFmtId="3" fontId="14" fillId="0" borderId="1" xfId="7" applyNumberFormat="1" applyFont="1" applyFill="1" applyBorder="1"/>
    <xf numFmtId="0" fontId="14" fillId="0" borderId="1" xfId="7" applyFont="1" applyBorder="1" applyAlignment="1">
      <alignment vertical="center" wrapText="1"/>
    </xf>
    <xf numFmtId="0" fontId="14" fillId="0" borderId="1" xfId="7" applyFont="1" applyFill="1" applyBorder="1" applyAlignment="1">
      <alignment vertical="center" wrapText="1"/>
    </xf>
    <xf numFmtId="3" fontId="14" fillId="0" borderId="1" xfId="0" applyNumberFormat="1" applyFont="1" applyBorder="1" applyAlignment="1">
      <alignment vertical="center"/>
    </xf>
    <xf numFmtId="0" fontId="13" fillId="0" borderId="1" xfId="5" applyFont="1" applyBorder="1"/>
    <xf numFmtId="3" fontId="13" fillId="0" borderId="1" xfId="5" applyNumberFormat="1" applyFont="1" applyBorder="1"/>
    <xf numFmtId="0" fontId="13" fillId="0" borderId="1" xfId="7" applyFont="1" applyBorder="1" applyAlignment="1">
      <alignment vertical="center" wrapText="1"/>
    </xf>
    <xf numFmtId="3" fontId="13" fillId="0" borderId="1" xfId="7" applyNumberFormat="1" applyFont="1" applyBorder="1"/>
    <xf numFmtId="0" fontId="12" fillId="0" borderId="1" xfId="5" applyFill="1" applyBorder="1"/>
    <xf numFmtId="0" fontId="12" fillId="0" borderId="1" xfId="5" applyBorder="1" applyAlignment="1">
      <alignment vertical="center" wrapText="1"/>
    </xf>
    <xf numFmtId="3" fontId="8" fillId="0" borderId="1" xfId="5" applyNumberFormat="1" applyFont="1" applyBorder="1"/>
    <xf numFmtId="0" fontId="8" fillId="0" borderId="1" xfId="5" applyFont="1" applyBorder="1" applyAlignment="1">
      <alignment wrapText="1"/>
    </xf>
    <xf numFmtId="0" fontId="14" fillId="0" borderId="1" xfId="0" applyFont="1" applyBorder="1" applyAlignment="1">
      <alignment vertical="center"/>
    </xf>
    <xf numFmtId="3" fontId="13" fillId="0" borderId="1" xfId="5" applyNumberFormat="1" applyFont="1" applyBorder="1" applyAlignment="1">
      <alignment vertical="center" wrapText="1"/>
    </xf>
    <xf numFmtId="0" fontId="10" fillId="0" borderId="2" xfId="5" applyFont="1" applyBorder="1"/>
    <xf numFmtId="3" fontId="13" fillId="0" borderId="2" xfId="5" applyNumberFormat="1" applyFont="1" applyBorder="1" applyAlignment="1">
      <alignment vertical="center" wrapText="1"/>
    </xf>
    <xf numFmtId="3" fontId="13" fillId="0" borderId="2" xfId="5" applyNumberFormat="1" applyFont="1" applyBorder="1"/>
    <xf numFmtId="0" fontId="12" fillId="0" borderId="5" xfId="5" applyBorder="1"/>
    <xf numFmtId="3" fontId="8" fillId="0" borderId="2" xfId="5" applyNumberFormat="1" applyFont="1" applyBorder="1"/>
    <xf numFmtId="4" fontId="8" fillId="0" borderId="2" xfId="5" applyNumberFormat="1" applyFont="1" applyBorder="1"/>
    <xf numFmtId="0" fontId="8" fillId="0" borderId="1" xfId="5" applyFont="1" applyBorder="1"/>
    <xf numFmtId="0" fontId="8" fillId="0" borderId="2" xfId="5" applyFont="1" applyBorder="1"/>
    <xf numFmtId="3" fontId="8" fillId="0" borderId="1" xfId="5" applyNumberFormat="1" applyFont="1" applyFill="1" applyBorder="1"/>
    <xf numFmtId="49" fontId="13" fillId="0" borderId="1" xfId="5" applyNumberFormat="1" applyFont="1" applyBorder="1" applyAlignment="1">
      <alignment horizontal="center" vertical="center" wrapText="1"/>
    </xf>
    <xf numFmtId="2" fontId="13" fillId="0" borderId="1" xfId="5" applyNumberFormat="1" applyFont="1" applyBorder="1" applyAlignment="1">
      <alignment horizontal="center" vertical="center" wrapText="1"/>
    </xf>
    <xf numFmtId="0" fontId="13" fillId="0" borderId="1" xfId="5" applyFont="1" applyBorder="1" applyAlignment="1">
      <alignment horizontal="center" vertical="center" wrapText="1"/>
    </xf>
    <xf numFmtId="0" fontId="13" fillId="0" borderId="2" xfId="5" applyFont="1" applyBorder="1" applyAlignment="1">
      <alignment horizontal="center" vertical="center" wrapText="1"/>
    </xf>
    <xf numFmtId="0" fontId="13" fillId="0" borderId="3" xfId="5" applyFont="1" applyBorder="1" applyAlignment="1">
      <alignment horizontal="center" vertical="center" wrapText="1"/>
    </xf>
    <xf numFmtId="0" fontId="13" fillId="0" borderId="8" xfId="5" applyFont="1" applyBorder="1" applyAlignment="1">
      <alignment horizontal="center" vertical="center" wrapText="1"/>
    </xf>
    <xf numFmtId="49" fontId="13" fillId="0" borderId="5" xfId="5" applyNumberFormat="1" applyFont="1" applyBorder="1" applyAlignment="1">
      <alignment horizontal="center" vertical="center" wrapText="1"/>
    </xf>
    <xf numFmtId="0" fontId="13" fillId="0" borderId="5" xfId="5" applyFont="1" applyBorder="1" applyAlignment="1">
      <alignment horizontal="center" vertical="center" wrapText="1"/>
    </xf>
    <xf numFmtId="3" fontId="14" fillId="0" borderId="1" xfId="5" applyNumberFormat="1" applyFont="1" applyBorder="1" applyAlignment="1">
      <alignment vertical="center" wrapText="1"/>
    </xf>
    <xf numFmtId="0" fontId="8" fillId="0" borderId="1" xfId="5" applyFont="1" applyBorder="1" applyAlignment="1">
      <alignment horizontal="center" vertical="center" wrapText="1"/>
    </xf>
    <xf numFmtId="3" fontId="5" fillId="0" borderId="0" xfId="5" applyNumberFormat="1" applyFont="1" applyFill="1" applyBorder="1" applyAlignment="1">
      <alignment horizontal="center" vertical="center" wrapText="1"/>
    </xf>
    <xf numFmtId="0" fontId="14" fillId="0" borderId="1" xfId="5" applyFont="1" applyBorder="1" applyAlignment="1">
      <alignment horizontal="right" vertical="center" wrapText="1"/>
    </xf>
    <xf numFmtId="3" fontId="13" fillId="0" borderId="10" xfId="5" applyNumberFormat="1" applyFont="1" applyBorder="1" applyAlignment="1">
      <alignment vertical="center" wrapText="1"/>
    </xf>
    <xf numFmtId="0" fontId="13" fillId="0" borderId="1" xfId="5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/>
    </xf>
    <xf numFmtId="0" fontId="8" fillId="0" borderId="1" xfId="5" applyFont="1" applyBorder="1" applyAlignment="1">
      <alignment vertical="center" wrapText="1"/>
    </xf>
    <xf numFmtId="0" fontId="13" fillId="0" borderId="1" xfId="5" applyFont="1" applyBorder="1" applyAlignment="1">
      <alignment vertical="center" wrapText="1"/>
    </xf>
    <xf numFmtId="164" fontId="8" fillId="0" borderId="1" xfId="5" applyNumberFormat="1" applyFont="1" applyBorder="1"/>
    <xf numFmtId="0" fontId="8" fillId="0" borderId="5" xfId="5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14" fillId="0" borderId="1" xfId="5" applyFont="1" applyBorder="1" applyAlignment="1">
      <alignment horizontal="center" vertical="center" wrapText="1"/>
    </xf>
    <xf numFmtId="0" fontId="12" fillId="0" borderId="1" xfId="5" applyBorder="1" applyAlignment="1">
      <alignment horizontal="right"/>
    </xf>
    <xf numFmtId="0" fontId="8" fillId="0" borderId="5" xfId="5" applyFont="1" applyBorder="1" applyAlignment="1">
      <alignment horizontal="center" vertical="center" wrapText="1"/>
    </xf>
    <xf numFmtId="0" fontId="8" fillId="0" borderId="10" xfId="5" applyFont="1" applyBorder="1" applyAlignment="1">
      <alignment horizontal="center" vertical="center" wrapText="1"/>
    </xf>
    <xf numFmtId="0" fontId="0" fillId="0" borderId="2" xfId="5" applyFont="1" applyBorder="1" applyAlignment="1">
      <alignment horizontal="right"/>
    </xf>
    <xf numFmtId="0" fontId="12" fillId="0" borderId="3" xfId="5" applyBorder="1" applyAlignment="1">
      <alignment horizontal="right"/>
    </xf>
    <xf numFmtId="0" fontId="12" fillId="0" borderId="4" xfId="5" applyBorder="1" applyAlignment="1">
      <alignment horizontal="right"/>
    </xf>
    <xf numFmtId="3" fontId="12" fillId="0" borderId="2" xfId="5" applyNumberFormat="1" applyBorder="1" applyAlignment="1">
      <alignment horizontal="center"/>
    </xf>
    <xf numFmtId="3" fontId="12" fillId="0" borderId="3" xfId="5" applyNumberFormat="1" applyBorder="1" applyAlignment="1">
      <alignment horizontal="center"/>
    </xf>
    <xf numFmtId="3" fontId="12" fillId="0" borderId="4" xfId="5" applyNumberFormat="1" applyBorder="1" applyAlignment="1">
      <alignment horizontal="center"/>
    </xf>
    <xf numFmtId="49" fontId="6" fillId="0" borderId="1" xfId="5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2" xfId="5" applyFont="1" applyBorder="1" applyAlignment="1">
      <alignment horizontal="center" vertical="center" wrapText="1"/>
    </xf>
    <xf numFmtId="0" fontId="4" fillId="0" borderId="3" xfId="5" applyFont="1" applyBorder="1" applyAlignment="1">
      <alignment horizontal="center" vertical="center" wrapText="1"/>
    </xf>
    <xf numFmtId="0" fontId="4" fillId="0" borderId="4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/>
    </xf>
    <xf numFmtId="0" fontId="13" fillId="0" borderId="2" xfId="5" applyFont="1" applyBorder="1" applyAlignment="1">
      <alignment horizontal="center"/>
    </xf>
    <xf numFmtId="0" fontId="13" fillId="0" borderId="3" xfId="5" applyFont="1" applyBorder="1" applyAlignment="1">
      <alignment horizontal="center"/>
    </xf>
    <xf numFmtId="0" fontId="13" fillId="0" borderId="4" xfId="5" applyFont="1" applyBorder="1" applyAlignment="1">
      <alignment horizontal="center"/>
    </xf>
    <xf numFmtId="0" fontId="0" fillId="0" borderId="1" xfId="5" applyFont="1" applyBorder="1" applyAlignment="1">
      <alignment horizontal="center" vertical="center" wrapText="1"/>
    </xf>
    <xf numFmtId="0" fontId="13" fillId="0" borderId="0" xfId="5" applyFont="1" applyAlignment="1">
      <alignment horizontal="center"/>
    </xf>
    <xf numFmtId="0" fontId="5" fillId="0" borderId="1" xfId="5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 wrapText="1"/>
    </xf>
    <xf numFmtId="0" fontId="8" fillId="0" borderId="2" xfId="5" applyFont="1" applyBorder="1" applyAlignment="1">
      <alignment horizontal="center"/>
    </xf>
    <xf numFmtId="0" fontId="8" fillId="0" borderId="3" xfId="5" applyFont="1" applyBorder="1" applyAlignment="1">
      <alignment horizontal="center"/>
    </xf>
    <xf numFmtId="0" fontId="8" fillId="0" borderId="4" xfId="5" applyFont="1" applyBorder="1" applyAlignment="1">
      <alignment horizontal="center"/>
    </xf>
    <xf numFmtId="0" fontId="13" fillId="0" borderId="1" xfId="5" applyFont="1" applyBorder="1" applyAlignment="1">
      <alignment horizontal="center"/>
    </xf>
    <xf numFmtId="0" fontId="13" fillId="0" borderId="1" xfId="5" applyFont="1" applyBorder="1" applyAlignment="1">
      <alignment horizontal="center" vertical="center" wrapText="1"/>
    </xf>
    <xf numFmtId="0" fontId="3" fillId="0" borderId="6" xfId="5" applyFont="1" applyBorder="1" applyAlignment="1">
      <alignment horizontal="center"/>
    </xf>
    <xf numFmtId="0" fontId="13" fillId="0" borderId="2" xfId="5" applyFont="1" applyBorder="1" applyAlignment="1">
      <alignment horizontal="center" vertical="center" wrapText="1"/>
    </xf>
    <xf numFmtId="0" fontId="13" fillId="0" borderId="3" xfId="5" applyFont="1" applyBorder="1" applyAlignment="1">
      <alignment horizontal="center" vertical="center" wrapText="1"/>
    </xf>
    <xf numFmtId="0" fontId="13" fillId="0" borderId="4" xfId="5" applyFont="1" applyBorder="1" applyAlignment="1">
      <alignment horizontal="center" vertical="center" wrapText="1"/>
    </xf>
    <xf numFmtId="0" fontId="13" fillId="0" borderId="9" xfId="5" applyFont="1" applyBorder="1" applyAlignment="1">
      <alignment horizontal="center" vertical="center" wrapText="1"/>
    </xf>
    <xf numFmtId="0" fontId="13" fillId="0" borderId="7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/>
    </xf>
    <xf numFmtId="0" fontId="4" fillId="0" borderId="2" xfId="5" applyFont="1" applyBorder="1" applyAlignment="1">
      <alignment horizontal="center" vertical="center"/>
    </xf>
    <xf numFmtId="49" fontId="7" fillId="0" borderId="1" xfId="5" applyNumberFormat="1" applyFont="1" applyBorder="1" applyAlignment="1">
      <alignment horizontal="center" vertical="center" wrapText="1"/>
    </xf>
    <xf numFmtId="2" fontId="8" fillId="0" borderId="1" xfId="5" applyNumberFormat="1" applyFont="1" applyBorder="1" applyAlignment="1">
      <alignment horizontal="center" vertical="center" wrapText="1"/>
    </xf>
    <xf numFmtId="0" fontId="8" fillId="0" borderId="11" xfId="5" applyFont="1" applyBorder="1" applyAlignment="1">
      <alignment horizontal="center"/>
    </xf>
    <xf numFmtId="0" fontId="8" fillId="0" borderId="0" xfId="5" applyFont="1" applyBorder="1" applyAlignment="1">
      <alignment horizontal="center"/>
    </xf>
    <xf numFmtId="0" fontId="8" fillId="0" borderId="10" xfId="5" applyFont="1" applyBorder="1" applyAlignment="1">
      <alignment vertical="center" wrapText="1"/>
    </xf>
    <xf numFmtId="0" fontId="8" fillId="0" borderId="5" xfId="5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2_Копия ПЛАН-ФАКТ 2014 ООО ДОНАГРОГАЗ (ОТЧЕТ)  9 мес." xfId="4"/>
    <cellStyle name="Обычный 3" xfId="5"/>
    <cellStyle name="Обычный 4" xfId="6"/>
    <cellStyle name="Обычный 5" xfId="7"/>
    <cellStyle name="Обычный 6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R148"/>
  <sheetViews>
    <sheetView tabSelected="1" topLeftCell="A122" workbookViewId="0">
      <selection activeCell="J23" sqref="J23:O23"/>
    </sheetView>
  </sheetViews>
  <sheetFormatPr defaultRowHeight="12.75"/>
  <cols>
    <col min="1" max="1" width="7.28515625" style="1" customWidth="1"/>
    <col min="2" max="2" width="52.28515625" style="1" customWidth="1"/>
    <col min="3" max="3" width="10.42578125" style="1" hidden="1" customWidth="1"/>
    <col min="4" max="4" width="9.85546875" style="1" hidden="1" customWidth="1"/>
    <col min="5" max="5" width="9.140625" style="1" hidden="1" customWidth="1"/>
    <col min="6" max="6" width="12.140625" style="1" hidden="1" customWidth="1"/>
    <col min="7" max="7" width="11.140625" style="1" hidden="1" customWidth="1"/>
    <col min="8" max="8" width="9.140625" style="1" hidden="1" customWidth="1"/>
    <col min="9" max="9" width="14.28515625" style="1" customWidth="1"/>
    <col min="10" max="10" width="9.140625" style="1"/>
    <col min="11" max="14" width="10.140625" style="1" customWidth="1"/>
    <col min="15" max="15" width="10.5703125" style="1" customWidth="1"/>
    <col min="16" max="16384" width="9.140625" style="1"/>
  </cols>
  <sheetData>
    <row r="1" spans="1:18" ht="18.75">
      <c r="B1" s="2"/>
    </row>
    <row r="2" spans="1:18" ht="14.25">
      <c r="A2" s="4" t="s">
        <v>134</v>
      </c>
      <c r="B2" s="4"/>
    </row>
    <row r="3" spans="1:18" ht="15" customHeight="1">
      <c r="A3" s="92" t="s">
        <v>0</v>
      </c>
      <c r="B3" s="98" t="s">
        <v>1</v>
      </c>
      <c r="C3" s="114" t="s">
        <v>54</v>
      </c>
      <c r="D3" s="87" t="s">
        <v>58</v>
      </c>
      <c r="E3" s="87" t="s">
        <v>59</v>
      </c>
      <c r="F3" s="115" t="s">
        <v>65</v>
      </c>
      <c r="G3" s="87" t="s">
        <v>122</v>
      </c>
      <c r="H3" s="99" t="s">
        <v>123</v>
      </c>
      <c r="I3" s="100" t="s">
        <v>133</v>
      </c>
      <c r="J3" s="116" t="s">
        <v>135</v>
      </c>
      <c r="K3" s="117"/>
      <c r="L3" s="117"/>
      <c r="M3" s="117"/>
      <c r="N3" s="117"/>
      <c r="O3" s="117"/>
      <c r="P3" s="117"/>
    </row>
    <row r="4" spans="1:18" ht="24.75" customHeight="1">
      <c r="A4" s="92"/>
      <c r="B4" s="98"/>
      <c r="C4" s="88"/>
      <c r="D4" s="88"/>
      <c r="E4" s="88"/>
      <c r="F4" s="115"/>
      <c r="G4" s="88"/>
      <c r="H4" s="99"/>
      <c r="I4" s="100"/>
      <c r="J4" s="99" t="s">
        <v>136</v>
      </c>
      <c r="K4" s="99" t="s">
        <v>137</v>
      </c>
      <c r="L4" s="79" t="s">
        <v>147</v>
      </c>
      <c r="M4" s="79" t="s">
        <v>152</v>
      </c>
      <c r="N4" s="79" t="s">
        <v>156</v>
      </c>
      <c r="O4" s="99" t="s">
        <v>155</v>
      </c>
    </row>
    <row r="5" spans="1:18" ht="18.75" customHeight="1">
      <c r="A5" s="92"/>
      <c r="B5" s="98"/>
      <c r="C5" s="88"/>
      <c r="D5" s="88"/>
      <c r="E5" s="88"/>
      <c r="F5" s="115"/>
      <c r="G5" s="88"/>
      <c r="H5" s="99"/>
      <c r="I5" s="100"/>
      <c r="J5" s="99"/>
      <c r="K5" s="99"/>
      <c r="L5" s="80"/>
      <c r="M5" s="80"/>
      <c r="N5" s="80"/>
      <c r="O5" s="99"/>
    </row>
    <row r="6" spans="1:18" ht="19.5" customHeight="1">
      <c r="A6" s="89" t="s">
        <v>2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1"/>
      <c r="R6" s="3"/>
    </row>
    <row r="7" spans="1:18" ht="30">
      <c r="A7" s="20">
        <v>1</v>
      </c>
      <c r="B7" s="21" t="s">
        <v>3</v>
      </c>
      <c r="C7" s="8">
        <v>777</v>
      </c>
      <c r="D7" s="16">
        <v>782</v>
      </c>
      <c r="E7" s="16">
        <v>806</v>
      </c>
      <c r="F7" s="6"/>
      <c r="G7" s="42">
        <v>822</v>
      </c>
      <c r="H7" s="6"/>
      <c r="I7" s="54">
        <v>822</v>
      </c>
      <c r="J7" s="53">
        <v>817</v>
      </c>
      <c r="K7" s="53">
        <v>838</v>
      </c>
      <c r="L7" s="53">
        <v>810</v>
      </c>
      <c r="M7" s="53">
        <v>786</v>
      </c>
      <c r="N7" s="53">
        <v>777</v>
      </c>
      <c r="O7" s="53">
        <v>786</v>
      </c>
      <c r="R7" s="66"/>
    </row>
    <row r="8" spans="1:18" ht="15">
      <c r="A8" s="20">
        <v>2</v>
      </c>
      <c r="B8" s="21" t="s">
        <v>4</v>
      </c>
      <c r="C8" s="8">
        <v>800</v>
      </c>
      <c r="D8" s="9">
        <v>794</v>
      </c>
      <c r="E8" s="9">
        <v>802</v>
      </c>
      <c r="F8" s="6"/>
      <c r="G8" s="42">
        <v>792</v>
      </c>
      <c r="H8" s="6"/>
      <c r="I8" s="54">
        <v>792</v>
      </c>
      <c r="J8" s="53">
        <v>785</v>
      </c>
      <c r="K8" s="53">
        <v>788</v>
      </c>
      <c r="L8" s="53">
        <v>777</v>
      </c>
      <c r="M8" s="53">
        <v>750</v>
      </c>
      <c r="N8" s="53">
        <v>771</v>
      </c>
      <c r="O8" s="53">
        <v>750</v>
      </c>
      <c r="R8" s="66"/>
    </row>
    <row r="9" spans="1:18" ht="15">
      <c r="A9" s="20">
        <v>3</v>
      </c>
      <c r="B9" s="21" t="s">
        <v>5</v>
      </c>
      <c r="C9" s="10">
        <v>4381.7</v>
      </c>
      <c r="D9" s="10">
        <v>4375.43</v>
      </c>
      <c r="E9" s="10">
        <v>4185.13</v>
      </c>
      <c r="F9" s="26">
        <f>SUM(C9:E9)</f>
        <v>12942.260000000002</v>
      </c>
      <c r="G9" s="6">
        <v>4310.22</v>
      </c>
      <c r="H9" s="43">
        <f>G9+E9+D9</f>
        <v>12870.78</v>
      </c>
      <c r="I9" s="51">
        <v>56484.67</v>
      </c>
      <c r="J9" s="43">
        <v>4319.67</v>
      </c>
      <c r="K9" s="43">
        <v>4155.24</v>
      </c>
      <c r="L9" s="43">
        <v>4852.47</v>
      </c>
      <c r="M9" s="43">
        <v>4602.7700000000004</v>
      </c>
      <c r="N9" s="43">
        <v>3716.92</v>
      </c>
      <c r="O9" s="43">
        <f>SUM(J9:L9)+M9+N9</f>
        <v>21647.07</v>
      </c>
      <c r="R9" s="3"/>
    </row>
    <row r="10" spans="1:18" ht="15">
      <c r="A10" s="20">
        <v>4</v>
      </c>
      <c r="B10" s="21" t="s">
        <v>6</v>
      </c>
      <c r="C10" s="12">
        <v>563</v>
      </c>
      <c r="D10" s="9">
        <v>561</v>
      </c>
      <c r="E10" s="9">
        <v>529</v>
      </c>
      <c r="F10" s="26">
        <f t="shared" ref="F10:F22" si="0">SUM(C10:E10)</f>
        <v>1653</v>
      </c>
      <c r="G10" s="6">
        <v>525</v>
      </c>
      <c r="H10" s="43">
        <f t="shared" ref="H10:H22" si="1">G10+E10+D10</f>
        <v>1615</v>
      </c>
      <c r="I10" s="51">
        <v>7214</v>
      </c>
      <c r="J10" s="53">
        <v>527</v>
      </c>
      <c r="K10" s="53">
        <v>502</v>
      </c>
      <c r="L10" s="53">
        <v>588</v>
      </c>
      <c r="M10" s="53">
        <v>578</v>
      </c>
      <c r="N10" s="53">
        <v>473</v>
      </c>
      <c r="O10" s="43">
        <f t="shared" ref="O10:O20" si="2">SUM(J10:L10)+M10+N10</f>
        <v>2668</v>
      </c>
    </row>
    <row r="11" spans="1:18" ht="15">
      <c r="A11" s="20">
        <v>5</v>
      </c>
      <c r="B11" s="21" t="s">
        <v>7</v>
      </c>
      <c r="C11" s="10">
        <v>3946.2</v>
      </c>
      <c r="D11" s="10">
        <v>3889.74</v>
      </c>
      <c r="E11" s="10">
        <v>3710.61</v>
      </c>
      <c r="F11" s="26">
        <f t="shared" si="0"/>
        <v>11546.55</v>
      </c>
      <c r="G11" s="6">
        <v>3819.34</v>
      </c>
      <c r="H11" s="43">
        <f t="shared" si="1"/>
        <v>11419.69</v>
      </c>
      <c r="I11" s="51">
        <v>50379.740000000005</v>
      </c>
      <c r="J11" s="43">
        <v>3848.5</v>
      </c>
      <c r="K11" s="43">
        <v>3798.16</v>
      </c>
      <c r="L11" s="43">
        <v>4439.3999999999996</v>
      </c>
      <c r="M11" s="43">
        <v>4179.66</v>
      </c>
      <c r="N11" s="43">
        <v>3325.29</v>
      </c>
      <c r="O11" s="43">
        <f t="shared" si="2"/>
        <v>19591.009999999998</v>
      </c>
    </row>
    <row r="12" spans="1:18" ht="15">
      <c r="A12" s="20">
        <v>6</v>
      </c>
      <c r="B12" s="21" t="s">
        <v>8</v>
      </c>
      <c r="C12" s="10">
        <v>4336.82</v>
      </c>
      <c r="D12" s="10">
        <v>4377.96</v>
      </c>
      <c r="E12" s="10">
        <v>4178.16</v>
      </c>
      <c r="F12" s="26">
        <f t="shared" si="0"/>
        <v>12892.939999999999</v>
      </c>
      <c r="G12" s="6">
        <v>4288.25</v>
      </c>
      <c r="H12" s="43">
        <f t="shared" si="1"/>
        <v>12844.369999999999</v>
      </c>
      <c r="I12" s="51">
        <v>54635.150000000009</v>
      </c>
      <c r="J12" s="43">
        <v>4287</v>
      </c>
      <c r="K12" s="43">
        <v>4242.93</v>
      </c>
      <c r="L12" s="43">
        <v>4922.43</v>
      </c>
      <c r="M12" s="43">
        <v>4626.8999999999996</v>
      </c>
      <c r="N12" s="43">
        <v>3658.85</v>
      </c>
      <c r="O12" s="43">
        <f t="shared" si="2"/>
        <v>21738.11</v>
      </c>
    </row>
    <row r="13" spans="1:18" ht="30">
      <c r="A13" s="20">
        <v>7</v>
      </c>
      <c r="B13" s="21" t="s">
        <v>146</v>
      </c>
      <c r="C13" s="13">
        <v>23.66</v>
      </c>
      <c r="D13" s="8">
        <v>24.37</v>
      </c>
      <c r="E13" s="8">
        <v>25.13</v>
      </c>
      <c r="F13" s="26">
        <f t="shared" si="0"/>
        <v>73.16</v>
      </c>
      <c r="G13" s="6">
        <v>26.43</v>
      </c>
      <c r="H13" s="43"/>
      <c r="I13" s="52">
        <v>24.13</v>
      </c>
      <c r="J13" s="53">
        <v>28.5</v>
      </c>
      <c r="K13" s="53">
        <v>28.5</v>
      </c>
      <c r="L13" s="53">
        <v>28.5</v>
      </c>
      <c r="M13" s="53">
        <v>28.5</v>
      </c>
      <c r="N13" s="53">
        <v>28.5</v>
      </c>
      <c r="O13" s="74">
        <v>28.5</v>
      </c>
    </row>
    <row r="14" spans="1:18" ht="15">
      <c r="A14" s="20">
        <v>8</v>
      </c>
      <c r="B14" s="21" t="s">
        <v>9</v>
      </c>
      <c r="C14" s="9">
        <v>41</v>
      </c>
      <c r="D14" s="9">
        <v>37</v>
      </c>
      <c r="E14" s="9">
        <v>67</v>
      </c>
      <c r="F14" s="26">
        <f t="shared" si="0"/>
        <v>145</v>
      </c>
      <c r="G14" s="6">
        <v>40</v>
      </c>
      <c r="H14" s="43">
        <f t="shared" si="1"/>
        <v>144</v>
      </c>
      <c r="I14" s="51">
        <v>777</v>
      </c>
      <c r="J14" s="53">
        <v>76</v>
      </c>
      <c r="K14" s="53">
        <v>61</v>
      </c>
      <c r="L14" s="53">
        <v>53</v>
      </c>
      <c r="M14" s="53">
        <v>24</v>
      </c>
      <c r="N14" s="53">
        <v>41</v>
      </c>
      <c r="O14" s="43">
        <f t="shared" si="2"/>
        <v>255</v>
      </c>
    </row>
    <row r="15" spans="1:18" s="5" customFormat="1" ht="15">
      <c r="A15" s="20">
        <v>9</v>
      </c>
      <c r="B15" s="22" t="s">
        <v>10</v>
      </c>
      <c r="C15" s="11">
        <v>156.84</v>
      </c>
      <c r="D15" s="17">
        <v>163.05000000000001</v>
      </c>
      <c r="E15" s="17">
        <v>148.47999999999999</v>
      </c>
      <c r="F15" s="26">
        <f t="shared" si="0"/>
        <v>468.37</v>
      </c>
      <c r="G15" s="41">
        <v>156.86000000000001</v>
      </c>
      <c r="H15" s="43">
        <f t="shared" si="1"/>
        <v>468.39000000000004</v>
      </c>
      <c r="I15" s="51">
        <v>2138.5499999999997</v>
      </c>
      <c r="J15" s="55">
        <v>152.22</v>
      </c>
      <c r="K15" s="55">
        <v>144.37</v>
      </c>
      <c r="L15" s="55">
        <v>154.04</v>
      </c>
      <c r="M15" s="55">
        <v>143.15</v>
      </c>
      <c r="N15" s="55">
        <v>124</v>
      </c>
      <c r="O15" s="43">
        <f t="shared" si="2"/>
        <v>717.78</v>
      </c>
    </row>
    <row r="16" spans="1:18" ht="15">
      <c r="A16" s="20">
        <v>10</v>
      </c>
      <c r="B16" s="23" t="s">
        <v>11</v>
      </c>
      <c r="C16" s="9"/>
      <c r="D16" s="6"/>
      <c r="E16" s="6"/>
      <c r="F16" s="26">
        <f t="shared" si="0"/>
        <v>0</v>
      </c>
      <c r="G16" s="6"/>
      <c r="H16" s="43"/>
      <c r="I16" s="51"/>
      <c r="J16" s="53"/>
      <c r="K16" s="53"/>
      <c r="L16" s="53"/>
      <c r="M16" s="53"/>
      <c r="N16" s="53"/>
      <c r="O16" s="43">
        <f t="shared" si="2"/>
        <v>0</v>
      </c>
    </row>
    <row r="17" spans="1:15" ht="15">
      <c r="A17" s="20">
        <v>11</v>
      </c>
      <c r="B17" s="21" t="s">
        <v>12</v>
      </c>
      <c r="C17" s="9">
        <v>1</v>
      </c>
      <c r="D17" s="6">
        <v>2</v>
      </c>
      <c r="E17" s="6">
        <v>23</v>
      </c>
      <c r="F17" s="26">
        <f t="shared" si="0"/>
        <v>26</v>
      </c>
      <c r="G17" s="6">
        <v>22</v>
      </c>
      <c r="H17" s="43">
        <f t="shared" si="1"/>
        <v>47</v>
      </c>
      <c r="I17" s="51">
        <v>489</v>
      </c>
      <c r="J17" s="53">
        <v>60</v>
      </c>
      <c r="K17" s="53">
        <v>10</v>
      </c>
      <c r="L17" s="53">
        <v>63</v>
      </c>
      <c r="M17" s="53">
        <v>46</v>
      </c>
      <c r="N17" s="53">
        <v>18</v>
      </c>
      <c r="O17" s="43">
        <f t="shared" si="2"/>
        <v>197</v>
      </c>
    </row>
    <row r="18" spans="1:15" ht="15">
      <c r="A18" s="20">
        <v>12</v>
      </c>
      <c r="B18" s="24" t="s">
        <v>13</v>
      </c>
      <c r="C18" s="9">
        <v>2.42</v>
      </c>
      <c r="D18" s="6">
        <v>6.32</v>
      </c>
      <c r="E18" s="6">
        <v>75.17</v>
      </c>
      <c r="F18" s="27">
        <f t="shared" si="0"/>
        <v>83.91</v>
      </c>
      <c r="G18" s="6">
        <v>72.17</v>
      </c>
      <c r="H18" s="43">
        <f t="shared" si="1"/>
        <v>153.66</v>
      </c>
      <c r="I18" s="51">
        <v>1780.0300000000002</v>
      </c>
      <c r="J18" s="43">
        <v>275.42</v>
      </c>
      <c r="K18" s="43">
        <v>31.09</v>
      </c>
      <c r="L18" s="43">
        <v>264.14999999999998</v>
      </c>
      <c r="M18" s="43">
        <v>184.08</v>
      </c>
      <c r="N18" s="43">
        <v>52.94</v>
      </c>
      <c r="O18" s="43">
        <f t="shared" si="2"/>
        <v>807.68000000000006</v>
      </c>
    </row>
    <row r="19" spans="1:15" ht="15">
      <c r="A19" s="20">
        <v>13</v>
      </c>
      <c r="B19" s="21" t="s">
        <v>14</v>
      </c>
      <c r="C19" s="9">
        <v>242</v>
      </c>
      <c r="D19" s="6">
        <v>316</v>
      </c>
      <c r="E19" s="6">
        <v>327</v>
      </c>
      <c r="F19" s="26">
        <v>323</v>
      </c>
      <c r="G19" s="6">
        <v>329</v>
      </c>
      <c r="H19" s="43">
        <f t="shared" si="1"/>
        <v>972</v>
      </c>
      <c r="I19" s="51">
        <v>364</v>
      </c>
      <c r="J19" s="43">
        <f>J18*100/J17</f>
        <v>459.03333333333336</v>
      </c>
      <c r="K19" s="43">
        <f t="shared" ref="K19:O19" si="3">K18*100/K17</f>
        <v>310.89999999999998</v>
      </c>
      <c r="L19" s="43">
        <f t="shared" si="3"/>
        <v>419.28571428571422</v>
      </c>
      <c r="M19" s="43">
        <f t="shared" si="3"/>
        <v>400.17391304347825</v>
      </c>
      <c r="N19" s="43">
        <f t="shared" si="3"/>
        <v>294.11111111111109</v>
      </c>
      <c r="O19" s="43">
        <f t="shared" si="3"/>
        <v>409.98984771573606</v>
      </c>
    </row>
    <row r="20" spans="1:15" ht="15">
      <c r="A20" s="20">
        <v>14</v>
      </c>
      <c r="B20" s="21" t="s">
        <v>15</v>
      </c>
      <c r="C20" s="9">
        <v>24</v>
      </c>
      <c r="D20" s="6">
        <v>13</v>
      </c>
      <c r="E20" s="6">
        <v>10</v>
      </c>
      <c r="F20" s="26">
        <f t="shared" si="0"/>
        <v>47</v>
      </c>
      <c r="G20" s="6">
        <v>12</v>
      </c>
      <c r="H20" s="43">
        <f t="shared" si="1"/>
        <v>35</v>
      </c>
      <c r="I20" s="51">
        <v>280</v>
      </c>
      <c r="J20" s="53">
        <v>28</v>
      </c>
      <c r="K20" s="53">
        <v>27</v>
      </c>
      <c r="L20" s="53">
        <v>29</v>
      </c>
      <c r="M20" s="53">
        <v>29</v>
      </c>
      <c r="N20" s="53">
        <v>12</v>
      </c>
      <c r="O20" s="43">
        <f t="shared" si="2"/>
        <v>125</v>
      </c>
    </row>
    <row r="21" spans="1:15" ht="15">
      <c r="A21" s="20">
        <v>15</v>
      </c>
      <c r="B21" s="21" t="s">
        <v>63</v>
      </c>
      <c r="C21" s="9">
        <v>31</v>
      </c>
      <c r="D21" s="6">
        <v>23</v>
      </c>
      <c r="E21" s="6">
        <v>2</v>
      </c>
      <c r="F21" s="26">
        <f t="shared" si="0"/>
        <v>56</v>
      </c>
      <c r="G21" s="6">
        <v>0</v>
      </c>
      <c r="H21" s="43">
        <f t="shared" si="1"/>
        <v>25</v>
      </c>
      <c r="I21" s="51">
        <v>72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43">
        <f t="shared" ref="O10:O22" si="4">SUM(J21:L21)+M21</f>
        <v>0</v>
      </c>
    </row>
    <row r="22" spans="1:15" ht="15">
      <c r="A22" s="20">
        <v>16</v>
      </c>
      <c r="B22" s="21" t="s">
        <v>64</v>
      </c>
      <c r="C22" s="10">
        <v>131.58000000000001</v>
      </c>
      <c r="D22" s="26">
        <v>89.08</v>
      </c>
      <c r="E22" s="26">
        <v>10.3</v>
      </c>
      <c r="F22" s="26">
        <f t="shared" si="0"/>
        <v>230.96000000000004</v>
      </c>
      <c r="G22" s="6">
        <v>0</v>
      </c>
      <c r="H22" s="43">
        <f t="shared" si="1"/>
        <v>99.38</v>
      </c>
      <c r="I22" s="51">
        <v>308.11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43">
        <f t="shared" si="4"/>
        <v>0</v>
      </c>
    </row>
    <row r="23" spans="1:15" ht="15" customHeight="1">
      <c r="A23" s="112" t="s">
        <v>16</v>
      </c>
      <c r="B23" s="112"/>
      <c r="C23" s="112"/>
      <c r="D23" s="112"/>
      <c r="E23" s="112"/>
      <c r="F23" s="112"/>
      <c r="G23" s="112"/>
      <c r="H23" s="112"/>
      <c r="I23" s="113"/>
      <c r="J23" s="101"/>
      <c r="K23" s="102"/>
      <c r="L23" s="102"/>
      <c r="M23" s="102"/>
      <c r="N23" s="102"/>
      <c r="O23" s="103"/>
    </row>
    <row r="24" spans="1:15" ht="45" customHeight="1">
      <c r="A24" s="112"/>
      <c r="B24" s="112"/>
      <c r="C24" s="112"/>
      <c r="D24" s="112"/>
      <c r="E24" s="112"/>
      <c r="F24" s="112"/>
      <c r="G24" s="112"/>
      <c r="H24" s="112"/>
      <c r="I24" s="113"/>
      <c r="J24" s="6"/>
      <c r="K24" s="6"/>
      <c r="L24" s="6"/>
      <c r="M24" s="70" t="s">
        <v>154</v>
      </c>
      <c r="N24" s="75" t="s">
        <v>156</v>
      </c>
      <c r="O24" s="76"/>
    </row>
    <row r="25" spans="1:15" ht="15">
      <c r="A25" s="28">
        <v>1</v>
      </c>
      <c r="B25" s="9" t="s">
        <v>153</v>
      </c>
      <c r="C25" s="7"/>
      <c r="D25" s="81" t="s">
        <v>125</v>
      </c>
      <c r="E25" s="82"/>
      <c r="F25" s="82"/>
      <c r="G25" s="82"/>
      <c r="H25" s="83"/>
      <c r="I25" s="47">
        <v>7463</v>
      </c>
      <c r="J25" s="6"/>
      <c r="K25" s="6"/>
      <c r="L25" s="6"/>
      <c r="M25" s="6">
        <v>4413</v>
      </c>
      <c r="N25" s="6"/>
      <c r="O25" s="118"/>
    </row>
    <row r="26" spans="1:15" ht="15">
      <c r="A26" s="28">
        <v>2</v>
      </c>
      <c r="B26" s="9" t="s">
        <v>17</v>
      </c>
      <c r="C26" s="7"/>
      <c r="D26" s="81" t="s">
        <v>125</v>
      </c>
      <c r="E26" s="82"/>
      <c r="F26" s="82"/>
      <c r="G26" s="82"/>
      <c r="H26" s="83"/>
      <c r="I26" s="47">
        <v>0</v>
      </c>
      <c r="J26" s="6"/>
      <c r="K26" s="6"/>
      <c r="L26" s="6"/>
      <c r="M26" s="6"/>
      <c r="N26" s="6"/>
      <c r="O26" s="6"/>
    </row>
    <row r="27" spans="1:15" ht="15">
      <c r="A27" s="28"/>
      <c r="B27" s="9" t="s">
        <v>18</v>
      </c>
      <c r="C27" s="7"/>
      <c r="D27" s="81" t="s">
        <v>125</v>
      </c>
      <c r="E27" s="82"/>
      <c r="F27" s="82"/>
      <c r="G27" s="82"/>
      <c r="H27" s="83"/>
      <c r="I27" s="47">
        <v>378</v>
      </c>
      <c r="J27" s="6"/>
      <c r="K27" s="6"/>
      <c r="L27" s="6"/>
      <c r="M27" s="6"/>
      <c r="N27" s="6"/>
      <c r="O27" s="6"/>
    </row>
    <row r="28" spans="1:15" ht="15">
      <c r="A28" s="28"/>
      <c r="B28" s="9" t="s">
        <v>19</v>
      </c>
      <c r="C28" s="7"/>
      <c r="D28" s="81" t="s">
        <v>125</v>
      </c>
      <c r="E28" s="82"/>
      <c r="F28" s="82"/>
      <c r="G28" s="82"/>
      <c r="H28" s="83"/>
      <c r="I28" s="47">
        <v>386</v>
      </c>
      <c r="J28" s="6"/>
      <c r="K28" s="6"/>
      <c r="L28" s="6"/>
      <c r="M28" s="6">
        <v>274</v>
      </c>
      <c r="N28" s="6">
        <v>274</v>
      </c>
      <c r="O28" s="6"/>
    </row>
    <row r="29" spans="1:15" ht="15">
      <c r="A29" s="28"/>
      <c r="B29" s="9" t="s">
        <v>20</v>
      </c>
      <c r="C29" s="7"/>
      <c r="D29" s="81" t="s">
        <v>125</v>
      </c>
      <c r="E29" s="82"/>
      <c r="F29" s="82"/>
      <c r="G29" s="82"/>
      <c r="H29" s="83"/>
      <c r="I29" s="47">
        <v>201</v>
      </c>
      <c r="J29" s="6"/>
      <c r="K29" s="6"/>
      <c r="L29" s="6"/>
      <c r="M29" s="6"/>
      <c r="N29" s="6"/>
      <c r="O29" s="6"/>
    </row>
    <row r="30" spans="1:15" ht="15">
      <c r="A30" s="28"/>
      <c r="B30" s="9" t="s">
        <v>21</v>
      </c>
      <c r="C30" s="7"/>
      <c r="D30" s="81" t="s">
        <v>125</v>
      </c>
      <c r="E30" s="82"/>
      <c r="F30" s="82"/>
      <c r="G30" s="82"/>
      <c r="H30" s="83"/>
      <c r="I30" s="47">
        <v>395</v>
      </c>
      <c r="J30" s="6"/>
      <c r="K30" s="6"/>
      <c r="L30" s="6"/>
      <c r="M30" s="6">
        <v>288</v>
      </c>
      <c r="N30" s="6">
        <v>446</v>
      </c>
      <c r="O30" s="6"/>
    </row>
    <row r="31" spans="1:15" ht="15">
      <c r="A31" s="28"/>
      <c r="B31" s="9" t="s">
        <v>157</v>
      </c>
      <c r="C31" s="7"/>
      <c r="D31" s="81" t="s">
        <v>125</v>
      </c>
      <c r="E31" s="82"/>
      <c r="F31" s="82"/>
      <c r="G31" s="82"/>
      <c r="H31" s="83"/>
      <c r="I31" s="47">
        <v>372</v>
      </c>
      <c r="J31" s="6"/>
      <c r="K31" s="6"/>
      <c r="L31" s="6"/>
      <c r="M31" s="6"/>
      <c r="N31" s="6">
        <v>378</v>
      </c>
      <c r="O31" s="6"/>
    </row>
    <row r="32" spans="1:15" ht="15">
      <c r="A32" s="28"/>
      <c r="B32" s="9" t="s">
        <v>22</v>
      </c>
      <c r="C32" s="7"/>
      <c r="D32" s="81" t="s">
        <v>125</v>
      </c>
      <c r="E32" s="82"/>
      <c r="F32" s="82"/>
      <c r="G32" s="82"/>
      <c r="H32" s="83"/>
      <c r="I32" s="47">
        <v>230</v>
      </c>
      <c r="J32" s="6"/>
      <c r="K32" s="6"/>
      <c r="L32" s="6"/>
      <c r="M32" s="6"/>
      <c r="N32" s="6"/>
      <c r="O32" s="6"/>
    </row>
    <row r="33" spans="1:15" ht="15">
      <c r="A33" s="28"/>
      <c r="B33" s="9" t="s">
        <v>23</v>
      </c>
      <c r="C33" s="7"/>
      <c r="D33" s="81" t="s">
        <v>125</v>
      </c>
      <c r="E33" s="82"/>
      <c r="F33" s="82"/>
      <c r="G33" s="82"/>
      <c r="H33" s="83"/>
      <c r="I33" s="47">
        <v>190</v>
      </c>
      <c r="J33" s="6"/>
      <c r="K33" s="6"/>
      <c r="L33" s="6"/>
      <c r="M33" s="6">
        <v>80</v>
      </c>
      <c r="N33" s="6">
        <v>600</v>
      </c>
      <c r="O33" s="6"/>
    </row>
    <row r="34" spans="1:15" ht="15">
      <c r="A34" s="28"/>
      <c r="B34" s="9" t="s">
        <v>24</v>
      </c>
      <c r="C34" s="7"/>
      <c r="D34" s="81" t="s">
        <v>125</v>
      </c>
      <c r="E34" s="82"/>
      <c r="F34" s="82"/>
      <c r="G34" s="82"/>
      <c r="H34" s="83"/>
      <c r="I34" s="47">
        <v>145</v>
      </c>
      <c r="J34" s="6"/>
      <c r="K34" s="6"/>
      <c r="L34" s="6"/>
      <c r="M34" s="6"/>
      <c r="N34" s="6"/>
      <c r="O34" s="6"/>
    </row>
    <row r="35" spans="1:15" ht="15">
      <c r="A35" s="28"/>
      <c r="B35" s="9" t="s">
        <v>25</v>
      </c>
      <c r="C35" s="7">
        <v>1568</v>
      </c>
      <c r="D35" s="81" t="s">
        <v>125</v>
      </c>
      <c r="E35" s="82"/>
      <c r="F35" s="82"/>
      <c r="G35" s="82"/>
      <c r="H35" s="83"/>
      <c r="I35" s="47">
        <v>2676</v>
      </c>
      <c r="J35" s="6"/>
      <c r="K35" s="6"/>
      <c r="L35" s="6"/>
      <c r="M35" s="6">
        <v>2676</v>
      </c>
      <c r="N35" s="6"/>
      <c r="O35" s="6"/>
    </row>
    <row r="36" spans="1:15" ht="15">
      <c r="A36" s="28">
        <v>3</v>
      </c>
      <c r="B36" s="9" t="s">
        <v>26</v>
      </c>
      <c r="C36" s="7">
        <v>712</v>
      </c>
      <c r="D36" s="81" t="s">
        <v>125</v>
      </c>
      <c r="E36" s="82"/>
      <c r="F36" s="82"/>
      <c r="G36" s="82"/>
      <c r="H36" s="83"/>
      <c r="I36" s="47">
        <v>3769</v>
      </c>
      <c r="J36" s="6"/>
      <c r="K36" s="6"/>
      <c r="L36" s="6"/>
      <c r="M36" s="6"/>
      <c r="N36" s="6"/>
      <c r="O36" s="6"/>
    </row>
    <row r="37" spans="1:15" ht="15">
      <c r="A37" s="28">
        <v>4</v>
      </c>
      <c r="B37" s="9" t="s">
        <v>27</v>
      </c>
      <c r="C37" s="7"/>
      <c r="D37" s="81" t="s">
        <v>125</v>
      </c>
      <c r="E37" s="82"/>
      <c r="F37" s="82"/>
      <c r="G37" s="82"/>
      <c r="H37" s="83"/>
      <c r="I37" s="47">
        <v>147</v>
      </c>
      <c r="J37" s="6"/>
      <c r="K37" s="6"/>
      <c r="L37" s="6"/>
      <c r="M37" s="6"/>
      <c r="N37" s="6"/>
      <c r="O37" s="6"/>
    </row>
    <row r="38" spans="1:15" ht="15" customHeight="1">
      <c r="A38" s="28">
        <v>5</v>
      </c>
      <c r="B38" s="25" t="s">
        <v>28</v>
      </c>
      <c r="C38" s="14"/>
      <c r="D38" s="81" t="s">
        <v>125</v>
      </c>
      <c r="E38" s="82"/>
      <c r="F38" s="82"/>
      <c r="G38" s="82"/>
      <c r="H38" s="83"/>
      <c r="I38" s="47">
        <v>1797</v>
      </c>
      <c r="J38" s="6"/>
      <c r="K38" s="6"/>
      <c r="L38" s="6"/>
      <c r="M38" s="6"/>
      <c r="N38" s="6"/>
      <c r="O38" s="6"/>
    </row>
    <row r="39" spans="1:15" ht="15">
      <c r="A39" s="71">
        <v>6</v>
      </c>
      <c r="B39" s="9" t="s">
        <v>29</v>
      </c>
      <c r="C39" s="7"/>
      <c r="D39" s="81" t="s">
        <v>125</v>
      </c>
      <c r="E39" s="82"/>
      <c r="F39" s="82"/>
      <c r="G39" s="82"/>
      <c r="H39" s="83"/>
      <c r="I39" s="47">
        <v>40</v>
      </c>
      <c r="J39" s="6"/>
      <c r="K39" s="6"/>
      <c r="L39" s="6"/>
      <c r="M39" s="6"/>
      <c r="N39" s="6"/>
      <c r="O39" s="6"/>
    </row>
    <row r="40" spans="1:15" ht="15">
      <c r="A40" s="71">
        <v>7</v>
      </c>
      <c r="B40" s="9" t="s">
        <v>30</v>
      </c>
      <c r="C40" s="7"/>
      <c r="D40" s="81" t="s">
        <v>125</v>
      </c>
      <c r="E40" s="82"/>
      <c r="F40" s="82"/>
      <c r="G40" s="82"/>
      <c r="H40" s="83"/>
      <c r="I40" s="47">
        <v>15388</v>
      </c>
      <c r="J40" s="6"/>
      <c r="K40" s="6"/>
      <c r="L40" s="6"/>
      <c r="M40" s="6">
        <v>1900</v>
      </c>
      <c r="N40" s="6">
        <v>4834</v>
      </c>
      <c r="O40" s="6"/>
    </row>
    <row r="41" spans="1:15" ht="15">
      <c r="A41" s="71">
        <v>8</v>
      </c>
      <c r="B41" s="9" t="s">
        <v>31</v>
      </c>
      <c r="C41" s="7"/>
      <c r="D41" s="81" t="s">
        <v>125</v>
      </c>
      <c r="E41" s="82"/>
      <c r="F41" s="82"/>
      <c r="G41" s="82"/>
      <c r="H41" s="83"/>
      <c r="I41" s="47">
        <v>61</v>
      </c>
      <c r="J41" s="6"/>
      <c r="K41" s="6"/>
      <c r="L41" s="6"/>
      <c r="M41" s="6"/>
      <c r="N41" s="6"/>
      <c r="O41" s="6"/>
    </row>
    <row r="42" spans="1:15" ht="15">
      <c r="A42" s="71">
        <v>9</v>
      </c>
      <c r="B42" s="9" t="s">
        <v>32</v>
      </c>
      <c r="C42" s="7"/>
      <c r="D42" s="81" t="s">
        <v>125</v>
      </c>
      <c r="E42" s="82"/>
      <c r="F42" s="82"/>
      <c r="G42" s="82"/>
      <c r="H42" s="83"/>
      <c r="I42" s="47">
        <v>934</v>
      </c>
      <c r="J42" s="6"/>
      <c r="K42" s="6"/>
      <c r="L42" s="6"/>
      <c r="M42" s="6"/>
      <c r="N42" s="6"/>
      <c r="O42" s="6"/>
    </row>
    <row r="43" spans="1:15" ht="15">
      <c r="A43" s="71">
        <v>10</v>
      </c>
      <c r="B43" s="9" t="s">
        <v>33</v>
      </c>
      <c r="C43" s="7"/>
      <c r="D43" s="81" t="s">
        <v>125</v>
      </c>
      <c r="E43" s="82"/>
      <c r="F43" s="82"/>
      <c r="G43" s="82"/>
      <c r="H43" s="83"/>
      <c r="I43" s="47">
        <v>630</v>
      </c>
      <c r="J43" s="6"/>
      <c r="K43" s="6"/>
      <c r="L43" s="6"/>
      <c r="M43" s="6"/>
      <c r="N43" s="6"/>
      <c r="O43" s="6"/>
    </row>
    <row r="44" spans="1:15" ht="15">
      <c r="A44" s="71">
        <v>11</v>
      </c>
      <c r="B44" s="16" t="s">
        <v>34</v>
      </c>
      <c r="C44" s="7">
        <v>144</v>
      </c>
      <c r="D44" s="81" t="s">
        <v>125</v>
      </c>
      <c r="E44" s="82"/>
      <c r="F44" s="82"/>
      <c r="G44" s="82"/>
      <c r="H44" s="83"/>
      <c r="I44" s="47">
        <v>1692</v>
      </c>
      <c r="J44" s="6"/>
      <c r="K44" s="6"/>
      <c r="L44" s="6"/>
      <c r="M44" s="6"/>
      <c r="N44" s="6"/>
      <c r="O44" s="6"/>
    </row>
    <row r="45" spans="1:15" ht="15">
      <c r="A45" s="71">
        <v>12</v>
      </c>
      <c r="B45" s="16" t="s">
        <v>35</v>
      </c>
      <c r="C45" s="7"/>
      <c r="D45" s="81" t="s">
        <v>125</v>
      </c>
      <c r="E45" s="82"/>
      <c r="F45" s="82"/>
      <c r="G45" s="82"/>
      <c r="H45" s="83"/>
      <c r="I45" s="47">
        <v>219</v>
      </c>
      <c r="J45" s="6"/>
      <c r="K45" s="6"/>
      <c r="L45" s="6"/>
      <c r="M45" s="6"/>
      <c r="N45" s="6"/>
      <c r="O45" s="6"/>
    </row>
    <row r="46" spans="1:15" ht="15">
      <c r="A46" s="71">
        <v>13</v>
      </c>
      <c r="B46" s="9" t="s">
        <v>36</v>
      </c>
      <c r="C46" s="15" t="s">
        <v>55</v>
      </c>
      <c r="D46" s="81" t="s">
        <v>126</v>
      </c>
      <c r="E46" s="82"/>
      <c r="F46" s="82"/>
      <c r="G46" s="82"/>
      <c r="H46" s="83"/>
      <c r="I46" s="47">
        <v>1039</v>
      </c>
      <c r="J46" s="6"/>
      <c r="K46" s="6"/>
      <c r="L46" s="6"/>
      <c r="M46" s="6"/>
      <c r="N46" s="6"/>
      <c r="O46" s="6"/>
    </row>
    <row r="47" spans="1:15" ht="15">
      <c r="A47" s="71">
        <v>14</v>
      </c>
      <c r="B47" s="18" t="s">
        <v>37</v>
      </c>
      <c r="C47" s="15" t="s">
        <v>56</v>
      </c>
      <c r="D47" s="81" t="s">
        <v>127</v>
      </c>
      <c r="E47" s="82"/>
      <c r="F47" s="82"/>
      <c r="G47" s="82"/>
      <c r="H47" s="83"/>
      <c r="I47" s="47">
        <v>6641</v>
      </c>
      <c r="J47" s="6"/>
      <c r="K47" s="6"/>
      <c r="L47" s="6"/>
      <c r="M47" s="6"/>
      <c r="N47" s="6"/>
      <c r="O47" s="6"/>
    </row>
    <row r="48" spans="1:15" ht="15">
      <c r="A48" s="71">
        <v>15</v>
      </c>
      <c r="B48" s="18" t="s">
        <v>38</v>
      </c>
      <c r="C48" s="7"/>
      <c r="D48" s="81" t="s">
        <v>125</v>
      </c>
      <c r="E48" s="82"/>
      <c r="F48" s="82"/>
      <c r="G48" s="82"/>
      <c r="H48" s="83"/>
      <c r="I48" s="47">
        <v>1881</v>
      </c>
      <c r="J48" s="6"/>
      <c r="K48" s="6"/>
      <c r="L48" s="6"/>
      <c r="M48" s="6"/>
      <c r="N48" s="6"/>
      <c r="O48" s="6"/>
    </row>
    <row r="49" spans="1:15" ht="15">
      <c r="A49" s="71">
        <v>16</v>
      </c>
      <c r="B49" s="18" t="s">
        <v>132</v>
      </c>
      <c r="C49" s="7"/>
      <c r="D49" s="81" t="s">
        <v>125</v>
      </c>
      <c r="E49" s="82"/>
      <c r="F49" s="82"/>
      <c r="G49" s="82"/>
      <c r="H49" s="83"/>
      <c r="I49" s="47">
        <v>229</v>
      </c>
      <c r="J49" s="6"/>
      <c r="K49" s="6"/>
      <c r="L49" s="6"/>
      <c r="M49" s="6"/>
      <c r="N49" s="6"/>
      <c r="O49" s="6"/>
    </row>
    <row r="50" spans="1:15" ht="15">
      <c r="A50" s="71">
        <v>17</v>
      </c>
      <c r="B50" s="18" t="s">
        <v>60</v>
      </c>
      <c r="C50" s="7"/>
      <c r="D50" s="81" t="s">
        <v>125</v>
      </c>
      <c r="E50" s="82"/>
      <c r="F50" s="82"/>
      <c r="G50" s="82"/>
      <c r="H50" s="83"/>
      <c r="I50" s="47">
        <v>190</v>
      </c>
      <c r="J50" s="6"/>
      <c r="K50" s="6"/>
      <c r="L50" s="6"/>
      <c r="M50" s="6"/>
      <c r="N50" s="6"/>
      <c r="O50" s="6"/>
    </row>
    <row r="51" spans="1:15" hidden="1">
      <c r="A51" s="6"/>
      <c r="B51" s="84"/>
      <c r="C51" s="85"/>
      <c r="D51" s="85"/>
      <c r="E51" s="85"/>
      <c r="F51" s="85"/>
      <c r="G51" s="85"/>
      <c r="H51" s="86"/>
      <c r="I51" s="47"/>
      <c r="J51" s="6"/>
      <c r="K51" s="6"/>
      <c r="L51" s="6"/>
      <c r="M51" s="6"/>
      <c r="N51" s="6"/>
      <c r="O51" s="6"/>
    </row>
    <row r="52" spans="1:15" hidden="1">
      <c r="A52" s="6"/>
      <c r="B52" s="44" t="s">
        <v>39</v>
      </c>
      <c r="C52" s="6"/>
      <c r="D52" s="78"/>
      <c r="E52" s="78"/>
      <c r="F52" s="78"/>
      <c r="G52" s="78"/>
      <c r="H52" s="78"/>
      <c r="I52" s="47"/>
      <c r="J52" s="6"/>
      <c r="K52" s="6"/>
      <c r="L52" s="6"/>
      <c r="M52" s="6"/>
      <c r="N52" s="6"/>
      <c r="O52" s="6"/>
    </row>
    <row r="53" spans="1:15" hidden="1">
      <c r="A53" s="6"/>
      <c r="B53" s="6" t="s">
        <v>40</v>
      </c>
      <c r="C53" s="6"/>
      <c r="D53" s="78" t="s">
        <v>41</v>
      </c>
      <c r="E53" s="78"/>
      <c r="F53" s="78"/>
      <c r="G53" s="78"/>
      <c r="H53" s="78"/>
      <c r="I53" s="47">
        <v>43065</v>
      </c>
      <c r="J53" s="6"/>
      <c r="K53" s="6"/>
      <c r="L53" s="6"/>
      <c r="M53" s="6"/>
      <c r="N53" s="6"/>
      <c r="O53" s="6"/>
    </row>
    <row r="54" spans="1:15" hidden="1">
      <c r="A54" s="6"/>
      <c r="B54" s="6" t="s">
        <v>42</v>
      </c>
      <c r="C54" s="6"/>
      <c r="D54" s="78" t="s">
        <v>41</v>
      </c>
      <c r="E54" s="78"/>
      <c r="F54" s="78"/>
      <c r="G54" s="78"/>
      <c r="H54" s="78"/>
      <c r="I54" s="47">
        <v>25349</v>
      </c>
      <c r="J54" s="6"/>
      <c r="K54" s="6"/>
      <c r="L54" s="6"/>
      <c r="M54" s="6"/>
      <c r="N54" s="6"/>
      <c r="O54" s="6"/>
    </row>
    <row r="55" spans="1:15" hidden="1">
      <c r="A55" s="6"/>
      <c r="B55" s="6" t="s">
        <v>43</v>
      </c>
      <c r="C55" s="6"/>
      <c r="D55" s="78" t="s">
        <v>41</v>
      </c>
      <c r="E55" s="78"/>
      <c r="F55" s="78"/>
      <c r="G55" s="78"/>
      <c r="H55" s="78"/>
      <c r="I55" s="47">
        <v>47776</v>
      </c>
      <c r="J55" s="6"/>
      <c r="K55" s="6"/>
      <c r="L55" s="6"/>
      <c r="M55" s="6"/>
      <c r="N55" s="6"/>
      <c r="O55" s="6"/>
    </row>
    <row r="56" spans="1:15" hidden="1">
      <c r="A56" s="6"/>
      <c r="B56" s="6" t="s">
        <v>44</v>
      </c>
      <c r="C56" s="6"/>
      <c r="D56" s="78" t="s">
        <v>41</v>
      </c>
      <c r="E56" s="78"/>
      <c r="F56" s="78"/>
      <c r="G56" s="78"/>
      <c r="H56" s="78"/>
      <c r="I56" s="47">
        <v>39715</v>
      </c>
      <c r="J56" s="6"/>
      <c r="K56" s="6"/>
      <c r="L56" s="6"/>
      <c r="M56" s="6"/>
      <c r="N56" s="6"/>
      <c r="O56" s="6"/>
    </row>
    <row r="57" spans="1:15" hidden="1">
      <c r="A57" s="6"/>
      <c r="B57" s="19" t="s">
        <v>57</v>
      </c>
      <c r="C57" s="6"/>
      <c r="D57" s="78" t="s">
        <v>41</v>
      </c>
      <c r="E57" s="78"/>
      <c r="F57" s="78"/>
      <c r="G57" s="78"/>
      <c r="H57" s="78"/>
      <c r="I57" s="47">
        <v>6406</v>
      </c>
      <c r="J57" s="6"/>
      <c r="K57" s="6"/>
      <c r="L57" s="6"/>
      <c r="M57" s="6"/>
      <c r="N57" s="6"/>
      <c r="O57" s="6"/>
    </row>
    <row r="58" spans="1:15" hidden="1">
      <c r="A58" s="6"/>
      <c r="B58" s="6" t="s">
        <v>45</v>
      </c>
      <c r="C58" s="6">
        <v>6406</v>
      </c>
      <c r="D58" s="78" t="s">
        <v>41</v>
      </c>
      <c r="E58" s="78"/>
      <c r="F58" s="78"/>
      <c r="G58" s="78"/>
      <c r="H58" s="78"/>
      <c r="I58" s="47">
        <v>92310</v>
      </c>
      <c r="J58" s="6"/>
      <c r="K58" s="6"/>
      <c r="L58" s="6"/>
      <c r="M58" s="6"/>
      <c r="N58" s="6"/>
      <c r="O58" s="6"/>
    </row>
    <row r="59" spans="1:15" hidden="1">
      <c r="A59" s="6"/>
      <c r="B59" s="6" t="s">
        <v>46</v>
      </c>
      <c r="C59" s="6"/>
      <c r="D59" s="78" t="s">
        <v>41</v>
      </c>
      <c r="E59" s="78"/>
      <c r="F59" s="78"/>
      <c r="G59" s="78"/>
      <c r="H59" s="78"/>
      <c r="I59" s="47">
        <v>8040</v>
      </c>
      <c r="J59" s="6"/>
      <c r="K59" s="6"/>
      <c r="L59" s="6"/>
      <c r="M59" s="6"/>
      <c r="N59" s="6"/>
      <c r="O59" s="6"/>
    </row>
    <row r="60" spans="1:15" hidden="1">
      <c r="A60" s="6"/>
      <c r="B60" s="6" t="s">
        <v>47</v>
      </c>
      <c r="C60" s="6"/>
      <c r="D60" s="78" t="s">
        <v>41</v>
      </c>
      <c r="E60" s="78"/>
      <c r="F60" s="78"/>
      <c r="G60" s="78"/>
      <c r="H60" s="78"/>
      <c r="I60" s="47">
        <v>14595</v>
      </c>
      <c r="J60" s="6"/>
      <c r="K60" s="6"/>
      <c r="L60" s="6"/>
      <c r="M60" s="6"/>
      <c r="N60" s="6"/>
      <c r="O60" s="6"/>
    </row>
    <row r="61" spans="1:15" hidden="1">
      <c r="A61" s="6"/>
      <c r="B61" s="6" t="s">
        <v>48</v>
      </c>
      <c r="C61" s="6">
        <v>757</v>
      </c>
      <c r="D61" s="78" t="s">
        <v>41</v>
      </c>
      <c r="E61" s="78"/>
      <c r="F61" s="78"/>
      <c r="G61" s="78"/>
      <c r="H61" s="78"/>
      <c r="I61" s="47">
        <v>1303.5</v>
      </c>
      <c r="J61" s="6"/>
      <c r="K61" s="6"/>
      <c r="L61" s="6"/>
      <c r="M61" s="6"/>
      <c r="N61" s="6"/>
      <c r="O61" s="6"/>
    </row>
    <row r="62" spans="1:15" hidden="1">
      <c r="A62" s="6"/>
      <c r="B62" s="6" t="s">
        <v>49</v>
      </c>
      <c r="C62" s="6"/>
      <c r="D62" s="78" t="s">
        <v>41</v>
      </c>
      <c r="E62" s="78"/>
      <c r="F62" s="78"/>
      <c r="G62" s="78"/>
      <c r="H62" s="78"/>
      <c r="I62" s="47">
        <v>4247</v>
      </c>
      <c r="J62" s="6"/>
      <c r="K62" s="6"/>
      <c r="L62" s="6"/>
      <c r="M62" s="6"/>
      <c r="N62" s="6"/>
      <c r="O62" s="6"/>
    </row>
    <row r="63" spans="1:15" hidden="1">
      <c r="A63" s="6"/>
      <c r="B63" s="6" t="s">
        <v>50</v>
      </c>
      <c r="C63" s="6"/>
      <c r="D63" s="78" t="s">
        <v>41</v>
      </c>
      <c r="E63" s="78"/>
      <c r="F63" s="78"/>
      <c r="G63" s="78"/>
      <c r="H63" s="78"/>
      <c r="I63" s="47">
        <v>5297</v>
      </c>
      <c r="J63" s="6"/>
      <c r="K63" s="6"/>
      <c r="L63" s="6"/>
      <c r="M63" s="6"/>
      <c r="N63" s="6"/>
      <c r="O63" s="6"/>
    </row>
    <row r="64" spans="1:15" hidden="1">
      <c r="A64" s="6"/>
      <c r="B64" s="6" t="s">
        <v>51</v>
      </c>
      <c r="C64" s="6"/>
      <c r="D64" s="78" t="s">
        <v>41</v>
      </c>
      <c r="E64" s="78"/>
      <c r="F64" s="78"/>
      <c r="G64" s="78"/>
      <c r="H64" s="78"/>
      <c r="I64" s="47">
        <v>584</v>
      </c>
      <c r="J64" s="6"/>
      <c r="K64" s="6"/>
      <c r="L64" s="6"/>
      <c r="M64" s="6"/>
      <c r="N64" s="6"/>
      <c r="O64" s="6"/>
    </row>
    <row r="65" spans="1:15" hidden="1">
      <c r="A65" s="6"/>
      <c r="B65" s="6" t="s">
        <v>52</v>
      </c>
      <c r="C65" s="6"/>
      <c r="D65" s="78" t="s">
        <v>41</v>
      </c>
      <c r="E65" s="78"/>
      <c r="F65" s="78"/>
      <c r="G65" s="78"/>
      <c r="H65" s="78"/>
      <c r="I65" s="47">
        <v>41112</v>
      </c>
      <c r="J65" s="6"/>
      <c r="K65" s="6"/>
      <c r="L65" s="6"/>
      <c r="M65" s="6"/>
      <c r="N65" s="6"/>
      <c r="O65" s="6"/>
    </row>
    <row r="66" spans="1:15" hidden="1">
      <c r="A66" s="6"/>
      <c r="B66" s="6" t="s">
        <v>53</v>
      </c>
      <c r="C66" s="6">
        <v>9132</v>
      </c>
      <c r="D66" s="78" t="s">
        <v>41</v>
      </c>
      <c r="E66" s="78"/>
      <c r="F66" s="78"/>
      <c r="G66" s="78"/>
      <c r="H66" s="78"/>
      <c r="I66" s="47">
        <v>1981</v>
      </c>
      <c r="J66" s="6"/>
      <c r="K66" s="6"/>
      <c r="L66" s="6"/>
      <c r="M66" s="6"/>
      <c r="N66" s="6"/>
      <c r="O66" s="6"/>
    </row>
    <row r="67" spans="1:15" hidden="1">
      <c r="A67" s="6"/>
      <c r="B67" s="19" t="s">
        <v>61</v>
      </c>
      <c r="C67" s="6"/>
      <c r="D67" s="78" t="s">
        <v>41</v>
      </c>
      <c r="E67" s="78"/>
      <c r="F67" s="78"/>
      <c r="G67" s="78"/>
      <c r="H67" s="78"/>
      <c r="I67" s="47">
        <v>3262</v>
      </c>
      <c r="J67" s="6"/>
      <c r="K67" s="6"/>
      <c r="L67" s="6"/>
      <c r="M67" s="6"/>
      <c r="N67" s="6"/>
      <c r="O67" s="6"/>
    </row>
    <row r="68" spans="1:15" hidden="1">
      <c r="A68" s="6"/>
      <c r="B68" s="19" t="s">
        <v>62</v>
      </c>
      <c r="C68" s="6"/>
      <c r="D68" s="78" t="s">
        <v>41</v>
      </c>
      <c r="E68" s="78"/>
      <c r="F68" s="78"/>
      <c r="G68" s="78"/>
      <c r="H68" s="78"/>
      <c r="I68" s="47">
        <v>1516</v>
      </c>
      <c r="J68" s="6"/>
      <c r="K68" s="6"/>
      <c r="L68" s="6"/>
      <c r="M68" s="6"/>
      <c r="N68" s="6"/>
      <c r="O68" s="6"/>
    </row>
    <row r="69" spans="1:15" hidden="1">
      <c r="J69" s="6"/>
      <c r="K69" s="6"/>
      <c r="L69" s="6"/>
      <c r="M69" s="6"/>
      <c r="N69" s="6"/>
      <c r="O69" s="6"/>
    </row>
    <row r="70" spans="1:15" hidden="1">
      <c r="J70" s="50"/>
      <c r="K70" s="50"/>
      <c r="L70" s="50"/>
      <c r="M70" s="50"/>
      <c r="N70" s="50"/>
      <c r="O70" s="50"/>
    </row>
    <row r="71" spans="1:15">
      <c r="J71" s="3"/>
      <c r="K71" s="3"/>
      <c r="L71" s="3"/>
      <c r="M71" s="3"/>
      <c r="N71" s="3"/>
      <c r="O71" s="3"/>
    </row>
    <row r="72" spans="1:15" ht="15.75">
      <c r="A72" s="97" t="s">
        <v>66</v>
      </c>
      <c r="B72" s="97"/>
      <c r="C72" s="97"/>
      <c r="D72" s="97"/>
      <c r="E72" s="97"/>
      <c r="F72" s="97"/>
      <c r="J72" s="3"/>
      <c r="K72" s="3"/>
      <c r="L72" s="3"/>
      <c r="M72" s="3"/>
      <c r="N72" s="3"/>
      <c r="O72" s="3"/>
    </row>
    <row r="73" spans="1:15" ht="19.5" customHeight="1">
      <c r="A73" s="96" t="s">
        <v>0</v>
      </c>
      <c r="B73" s="77" t="s">
        <v>67</v>
      </c>
      <c r="C73" s="107" t="s">
        <v>68</v>
      </c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9"/>
    </row>
    <row r="74" spans="1:15" ht="17.25" customHeight="1">
      <c r="A74" s="96"/>
      <c r="B74" s="77"/>
      <c r="C74" s="59"/>
      <c r="D74" s="60"/>
      <c r="E74" s="60"/>
      <c r="F74" s="60"/>
      <c r="G74" s="61"/>
      <c r="H74" s="61"/>
      <c r="I74" s="110" t="s">
        <v>133</v>
      </c>
      <c r="J74" s="107" t="s">
        <v>135</v>
      </c>
      <c r="K74" s="108"/>
      <c r="L74" s="108"/>
      <c r="M74" s="108"/>
      <c r="N74" s="108"/>
      <c r="O74" s="109"/>
    </row>
    <row r="75" spans="1:15" ht="45" customHeight="1">
      <c r="A75" s="96"/>
      <c r="B75" s="77"/>
      <c r="C75" s="56" t="s">
        <v>54</v>
      </c>
      <c r="D75" s="56" t="s">
        <v>58</v>
      </c>
      <c r="E75" s="56" t="s">
        <v>59</v>
      </c>
      <c r="F75" s="57" t="s">
        <v>65</v>
      </c>
      <c r="G75" s="62" t="s">
        <v>122</v>
      </c>
      <c r="H75" s="63" t="s">
        <v>123</v>
      </c>
      <c r="I75" s="111"/>
      <c r="J75" s="63" t="s">
        <v>136</v>
      </c>
      <c r="K75" s="63" t="s">
        <v>137</v>
      </c>
      <c r="L75" s="65" t="s">
        <v>147</v>
      </c>
      <c r="M75" s="72" t="s">
        <v>152</v>
      </c>
      <c r="N75" s="75" t="s">
        <v>156</v>
      </c>
      <c r="O75" s="75" t="s">
        <v>155</v>
      </c>
    </row>
    <row r="76" spans="1:15" ht="15.75">
      <c r="A76" s="30">
        <v>1</v>
      </c>
      <c r="B76" s="30" t="s">
        <v>69</v>
      </c>
      <c r="C76" s="36">
        <v>192</v>
      </c>
      <c r="D76" s="36">
        <v>104</v>
      </c>
      <c r="E76" s="36">
        <v>90</v>
      </c>
      <c r="F76" s="31">
        <f t="shared" ref="F76:F83" si="5">SUM(C76:E76)</f>
        <v>386</v>
      </c>
      <c r="G76" s="45">
        <v>135</v>
      </c>
      <c r="H76" s="46">
        <f>D76+E76+G76</f>
        <v>329</v>
      </c>
      <c r="I76" s="48">
        <v>2446</v>
      </c>
      <c r="J76" s="64">
        <v>318</v>
      </c>
      <c r="K76" s="64">
        <v>313</v>
      </c>
      <c r="L76" s="67">
        <v>342</v>
      </c>
      <c r="M76" s="72">
        <v>376</v>
      </c>
      <c r="N76" s="72">
        <v>142</v>
      </c>
      <c r="O76" s="38">
        <f t="shared" ref="O76:O82" si="6">SUM(J76:L76)+M76+N76</f>
        <v>1491</v>
      </c>
    </row>
    <row r="77" spans="1:15" ht="15.75">
      <c r="A77" s="30">
        <v>2</v>
      </c>
      <c r="B77" s="30" t="s">
        <v>70</v>
      </c>
      <c r="C77" s="36">
        <v>10263</v>
      </c>
      <c r="D77" s="36">
        <v>10667</v>
      </c>
      <c r="E77" s="36">
        <v>10501</v>
      </c>
      <c r="F77" s="31">
        <f t="shared" si="5"/>
        <v>31431</v>
      </c>
      <c r="G77" s="45">
        <v>11335</v>
      </c>
      <c r="H77" s="46">
        <f t="shared" ref="H77:H84" si="7">D77+E77+G77</f>
        <v>32503</v>
      </c>
      <c r="I77" s="48">
        <v>131827</v>
      </c>
      <c r="J77" s="31">
        <v>12219</v>
      </c>
      <c r="K77" s="31">
        <v>12094</v>
      </c>
      <c r="L77" s="31">
        <v>14032</v>
      </c>
      <c r="M77" s="31">
        <v>13189</v>
      </c>
      <c r="N77" s="31">
        <v>10428</v>
      </c>
      <c r="O77" s="38">
        <f t="shared" si="6"/>
        <v>61962</v>
      </c>
    </row>
    <row r="78" spans="1:15" ht="15.75">
      <c r="A78" s="30">
        <v>3</v>
      </c>
      <c r="B78" s="30" t="s">
        <v>76</v>
      </c>
      <c r="C78" s="36">
        <v>0</v>
      </c>
      <c r="D78" s="36">
        <v>0</v>
      </c>
      <c r="E78" s="36">
        <v>428</v>
      </c>
      <c r="F78" s="31">
        <f t="shared" si="5"/>
        <v>428</v>
      </c>
      <c r="G78" s="30">
        <v>353</v>
      </c>
      <c r="H78" s="46">
        <f t="shared" si="7"/>
        <v>781</v>
      </c>
      <c r="I78" s="49">
        <v>10949</v>
      </c>
      <c r="J78" s="31">
        <v>1604</v>
      </c>
      <c r="K78" s="31">
        <v>132</v>
      </c>
      <c r="L78" s="31">
        <v>1488</v>
      </c>
      <c r="M78" s="31">
        <v>925</v>
      </c>
      <c r="N78" s="31">
        <v>227</v>
      </c>
      <c r="O78" s="38">
        <f t="shared" si="6"/>
        <v>4376</v>
      </c>
    </row>
    <row r="79" spans="1:15" ht="15.75">
      <c r="A79" s="30">
        <v>4</v>
      </c>
      <c r="B79" s="30" t="s">
        <v>75</v>
      </c>
      <c r="C79" s="36">
        <v>0</v>
      </c>
      <c r="D79" s="36">
        <v>0</v>
      </c>
      <c r="E79" s="36">
        <v>61</v>
      </c>
      <c r="F79" s="31">
        <f t="shared" si="5"/>
        <v>61</v>
      </c>
      <c r="G79" s="30">
        <v>74</v>
      </c>
      <c r="H79" s="46">
        <f t="shared" si="7"/>
        <v>135</v>
      </c>
      <c r="I79" s="49">
        <v>1337</v>
      </c>
      <c r="J79" s="31">
        <v>429</v>
      </c>
      <c r="K79" s="31">
        <v>40</v>
      </c>
      <c r="L79" s="31">
        <v>233</v>
      </c>
      <c r="M79" s="31">
        <v>270</v>
      </c>
      <c r="N79" s="31">
        <v>75</v>
      </c>
      <c r="O79" s="38">
        <f t="shared" si="6"/>
        <v>1047</v>
      </c>
    </row>
    <row r="80" spans="1:15" ht="15.75">
      <c r="A80" s="30">
        <v>5</v>
      </c>
      <c r="B80" s="30" t="s">
        <v>71</v>
      </c>
      <c r="C80" s="31">
        <v>0</v>
      </c>
      <c r="D80" s="31">
        <v>118</v>
      </c>
      <c r="E80" s="31">
        <v>0</v>
      </c>
      <c r="F80" s="31">
        <f t="shared" si="5"/>
        <v>118</v>
      </c>
      <c r="G80" s="30">
        <v>0</v>
      </c>
      <c r="H80" s="46">
        <f t="shared" si="7"/>
        <v>118</v>
      </c>
      <c r="I80" s="49">
        <v>1591</v>
      </c>
      <c r="J80" s="31"/>
      <c r="K80" s="31"/>
      <c r="L80" s="31">
        <v>0</v>
      </c>
      <c r="M80" s="31">
        <v>1150</v>
      </c>
      <c r="N80" s="31">
        <v>3027</v>
      </c>
      <c r="O80" s="38">
        <f t="shared" si="6"/>
        <v>4177</v>
      </c>
    </row>
    <row r="81" spans="1:15" ht="15.75">
      <c r="A81" s="30">
        <v>6</v>
      </c>
      <c r="B81" s="30" t="s">
        <v>77</v>
      </c>
      <c r="C81" s="31">
        <v>0</v>
      </c>
      <c r="D81" s="31">
        <v>0</v>
      </c>
      <c r="E81" s="31">
        <v>1463</v>
      </c>
      <c r="F81" s="31">
        <f t="shared" si="5"/>
        <v>1463</v>
      </c>
      <c r="G81" s="30">
        <v>0</v>
      </c>
      <c r="H81" s="46">
        <f t="shared" si="7"/>
        <v>1463</v>
      </c>
      <c r="I81" s="49">
        <v>1463</v>
      </c>
      <c r="J81" s="31"/>
      <c r="K81" s="31"/>
      <c r="L81" s="31">
        <v>1025</v>
      </c>
      <c r="M81" s="31">
        <v>0</v>
      </c>
      <c r="N81" s="31"/>
      <c r="O81" s="38">
        <f t="shared" si="6"/>
        <v>1025</v>
      </c>
    </row>
    <row r="82" spans="1:15" ht="15.75">
      <c r="A82" s="30">
        <v>7</v>
      </c>
      <c r="B82" s="30" t="s">
        <v>72</v>
      </c>
      <c r="C82" s="31">
        <v>262</v>
      </c>
      <c r="D82" s="31">
        <v>789</v>
      </c>
      <c r="E82" s="31">
        <v>298</v>
      </c>
      <c r="F82" s="31">
        <f t="shared" si="5"/>
        <v>1349</v>
      </c>
      <c r="G82" s="30">
        <v>269</v>
      </c>
      <c r="H82" s="46">
        <f t="shared" si="7"/>
        <v>1356</v>
      </c>
      <c r="I82" s="49">
        <v>3706</v>
      </c>
      <c r="J82" s="31">
        <v>7</v>
      </c>
      <c r="K82" s="31">
        <v>293</v>
      </c>
      <c r="L82" s="31">
        <v>249</v>
      </c>
      <c r="M82" s="31">
        <v>279</v>
      </c>
      <c r="N82" s="31">
        <v>155</v>
      </c>
      <c r="O82" s="38">
        <f t="shared" si="6"/>
        <v>983</v>
      </c>
    </row>
    <row r="83" spans="1:15" ht="15.75">
      <c r="A83" s="30">
        <v>8</v>
      </c>
      <c r="B83" s="30" t="s">
        <v>73</v>
      </c>
      <c r="C83" s="31">
        <v>1155</v>
      </c>
      <c r="D83" s="31">
        <v>171</v>
      </c>
      <c r="E83" s="31">
        <v>148</v>
      </c>
      <c r="F83" s="31">
        <f t="shared" si="5"/>
        <v>1474</v>
      </c>
      <c r="G83" s="30">
        <v>711</v>
      </c>
      <c r="H83" s="46">
        <f t="shared" si="7"/>
        <v>1030</v>
      </c>
      <c r="I83" s="49">
        <v>2533</v>
      </c>
      <c r="J83" s="31">
        <v>252</v>
      </c>
      <c r="K83" s="31">
        <v>9</v>
      </c>
      <c r="L83" s="31">
        <v>5</v>
      </c>
      <c r="M83" s="31">
        <v>9</v>
      </c>
      <c r="N83" s="31">
        <v>9</v>
      </c>
      <c r="O83" s="38">
        <f>SUM(J83:L83)+M83+N83</f>
        <v>284</v>
      </c>
    </row>
    <row r="84" spans="1:15" ht="15.75">
      <c r="A84" s="30"/>
      <c r="B84" s="30" t="s">
        <v>74</v>
      </c>
      <c r="C84" s="31">
        <f>SUM(C76:C83)</f>
        <v>11872</v>
      </c>
      <c r="D84" s="31">
        <f t="shared" ref="D84:G84" si="8">SUM(D76:D83)</f>
        <v>11849</v>
      </c>
      <c r="E84" s="31">
        <f t="shared" si="8"/>
        <v>12989</v>
      </c>
      <c r="F84" s="31">
        <f t="shared" si="8"/>
        <v>36710</v>
      </c>
      <c r="G84" s="31">
        <f t="shared" si="8"/>
        <v>12877</v>
      </c>
      <c r="H84" s="46">
        <f t="shared" si="7"/>
        <v>37715</v>
      </c>
      <c r="I84" s="49">
        <f>SUM(I76:I83)</f>
        <v>155852</v>
      </c>
      <c r="J84" s="49">
        <f t="shared" ref="J84:M84" si="9">SUM(J76:J83)</f>
        <v>14829</v>
      </c>
      <c r="K84" s="49">
        <f t="shared" si="9"/>
        <v>12881</v>
      </c>
      <c r="L84" s="49">
        <f t="shared" si="9"/>
        <v>17374</v>
      </c>
      <c r="M84" s="49">
        <f t="shared" si="9"/>
        <v>16198</v>
      </c>
      <c r="N84" s="49">
        <f>SUM(N76:N83)</f>
        <v>14063</v>
      </c>
      <c r="O84" s="38">
        <f>SUM(J84:L84)+M84+N84</f>
        <v>75345</v>
      </c>
    </row>
    <row r="85" spans="1:15">
      <c r="J85" s="3"/>
      <c r="K85" s="3"/>
      <c r="L85" s="3"/>
      <c r="M85" s="3"/>
      <c r="N85" s="3"/>
      <c r="O85" s="3"/>
    </row>
    <row r="86" spans="1:15" ht="21.75" customHeight="1">
      <c r="A86" s="106" t="s">
        <v>78</v>
      </c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</row>
    <row r="87" spans="1:15" ht="15.75">
      <c r="A87" s="77" t="s">
        <v>0</v>
      </c>
      <c r="B87" s="77" t="s">
        <v>79</v>
      </c>
      <c r="C87" s="30"/>
      <c r="D87" s="30"/>
      <c r="E87" s="30"/>
      <c r="F87" s="30"/>
      <c r="G87" s="30"/>
      <c r="H87" s="30"/>
      <c r="I87" s="105" t="s">
        <v>138</v>
      </c>
      <c r="J87" s="104" t="s">
        <v>135</v>
      </c>
      <c r="K87" s="104"/>
      <c r="L87" s="104"/>
      <c r="M87" s="104"/>
      <c r="N87" s="104"/>
      <c r="O87" s="104"/>
    </row>
    <row r="88" spans="1:15" ht="63">
      <c r="A88" s="77"/>
      <c r="B88" s="77"/>
      <c r="C88" s="29" t="s">
        <v>54</v>
      </c>
      <c r="D88" s="56" t="s">
        <v>58</v>
      </c>
      <c r="E88" s="56" t="s">
        <v>59</v>
      </c>
      <c r="F88" s="57" t="s">
        <v>65</v>
      </c>
      <c r="G88" s="56" t="s">
        <v>122</v>
      </c>
      <c r="H88" s="58" t="s">
        <v>124</v>
      </c>
      <c r="I88" s="105"/>
      <c r="J88" s="69" t="s">
        <v>136</v>
      </c>
      <c r="K88" s="69" t="s">
        <v>137</v>
      </c>
      <c r="L88" s="69" t="s">
        <v>147</v>
      </c>
      <c r="M88" s="73" t="s">
        <v>152</v>
      </c>
      <c r="N88" s="119" t="s">
        <v>156</v>
      </c>
      <c r="O88" s="75" t="s">
        <v>155</v>
      </c>
    </row>
    <row r="89" spans="1:15" ht="15.75">
      <c r="A89" s="30">
        <v>1</v>
      </c>
      <c r="B89" s="37" t="s">
        <v>80</v>
      </c>
      <c r="C89" s="38">
        <v>7999</v>
      </c>
      <c r="D89" s="38">
        <f>C148</f>
        <v>1043</v>
      </c>
      <c r="E89" s="38">
        <f>D148</f>
        <v>716</v>
      </c>
      <c r="F89" s="38">
        <f>C89</f>
        <v>7999</v>
      </c>
      <c r="G89" s="38">
        <v>9485</v>
      </c>
      <c r="H89" s="38">
        <v>4176</v>
      </c>
      <c r="I89" s="38">
        <v>4176</v>
      </c>
      <c r="J89" s="38">
        <v>5020</v>
      </c>
      <c r="K89" s="38">
        <f>J148</f>
        <v>3519</v>
      </c>
      <c r="L89" s="68">
        <f>K148</f>
        <v>3349</v>
      </c>
      <c r="M89" s="46">
        <f>L148</f>
        <v>3575</v>
      </c>
      <c r="N89" s="46">
        <f>M148</f>
        <v>3856</v>
      </c>
      <c r="O89" s="38">
        <f>J89</f>
        <v>5020</v>
      </c>
    </row>
    <row r="90" spans="1:15" ht="15.75">
      <c r="A90" s="93" t="s">
        <v>81</v>
      </c>
      <c r="B90" s="94"/>
      <c r="C90" s="94"/>
      <c r="D90" s="94"/>
      <c r="E90" s="94"/>
      <c r="F90" s="95"/>
      <c r="G90" s="31"/>
      <c r="H90" s="31"/>
      <c r="I90" s="31"/>
      <c r="J90" s="30"/>
      <c r="K90" s="30"/>
      <c r="L90" s="30"/>
      <c r="M90" s="30"/>
      <c r="N90" s="30"/>
      <c r="O90" s="30"/>
    </row>
    <row r="91" spans="1:15" ht="15.75">
      <c r="A91" s="30">
        <v>2</v>
      </c>
      <c r="B91" s="32" t="s">
        <v>70</v>
      </c>
      <c r="C91" s="33">
        <v>7957</v>
      </c>
      <c r="D91" s="33">
        <v>9813</v>
      </c>
      <c r="E91" s="33">
        <v>15898</v>
      </c>
      <c r="F91" s="31">
        <f>SUM(C91:E91)</f>
        <v>33668</v>
      </c>
      <c r="G91" s="31">
        <v>9332</v>
      </c>
      <c r="H91" s="38">
        <v>137892</v>
      </c>
      <c r="I91" s="38">
        <v>137892</v>
      </c>
      <c r="J91" s="31">
        <v>8311</v>
      </c>
      <c r="K91" s="31">
        <v>12228</v>
      </c>
      <c r="L91" s="31">
        <v>14744</v>
      </c>
      <c r="M91" s="31">
        <v>9320</v>
      </c>
      <c r="N91" s="31">
        <v>17307</v>
      </c>
      <c r="O91" s="31">
        <f>SUM(J91:K91)+L91+M91+N91</f>
        <v>61910</v>
      </c>
    </row>
    <row r="92" spans="1:15" ht="15.75">
      <c r="A92" s="30">
        <v>3</v>
      </c>
      <c r="B92" s="32" t="s">
        <v>82</v>
      </c>
      <c r="C92" s="33">
        <f>14+380</f>
        <v>394</v>
      </c>
      <c r="D92" s="33">
        <v>20</v>
      </c>
      <c r="E92" s="33">
        <f>15</f>
        <v>15</v>
      </c>
      <c r="F92" s="31">
        <f t="shared" ref="F92:F100" si="10">SUM(C92:E92)</f>
        <v>429</v>
      </c>
      <c r="G92" s="31">
        <v>21</v>
      </c>
      <c r="H92" s="38">
        <v>12535</v>
      </c>
      <c r="I92" s="38">
        <v>12535</v>
      </c>
      <c r="J92" s="31">
        <v>1326</v>
      </c>
      <c r="K92" s="31">
        <v>484</v>
      </c>
      <c r="L92" s="31">
        <v>1852</v>
      </c>
      <c r="M92" s="31">
        <v>238</v>
      </c>
      <c r="N92" s="31">
        <v>209</v>
      </c>
      <c r="O92" s="31">
        <f t="shared" ref="O92:O100" si="11">SUM(J92:K92)+L92+M92+N92</f>
        <v>4109</v>
      </c>
    </row>
    <row r="93" spans="1:15" ht="15.75">
      <c r="A93" s="30">
        <v>4</v>
      </c>
      <c r="B93" s="34" t="s">
        <v>83</v>
      </c>
      <c r="C93" s="33">
        <f>144</f>
        <v>144</v>
      </c>
      <c r="D93" s="33">
        <v>88</v>
      </c>
      <c r="E93" s="33">
        <v>80</v>
      </c>
      <c r="F93" s="31">
        <f t="shared" si="10"/>
        <v>312</v>
      </c>
      <c r="G93" s="31">
        <v>64</v>
      </c>
      <c r="H93" s="38">
        <v>4544</v>
      </c>
      <c r="I93" s="38">
        <v>4544</v>
      </c>
      <c r="J93" s="31">
        <v>1679</v>
      </c>
      <c r="K93" s="31">
        <v>135</v>
      </c>
      <c r="L93" s="31">
        <v>144</v>
      </c>
      <c r="M93" s="31">
        <v>1124</v>
      </c>
      <c r="N93" s="31">
        <v>70</v>
      </c>
      <c r="O93" s="31">
        <f t="shared" si="11"/>
        <v>3152</v>
      </c>
    </row>
    <row r="94" spans="1:15" ht="15.75">
      <c r="A94" s="30">
        <v>5</v>
      </c>
      <c r="B94" s="34" t="s">
        <v>77</v>
      </c>
      <c r="C94" s="33"/>
      <c r="D94" s="33"/>
      <c r="E94" s="33">
        <v>1463</v>
      </c>
      <c r="F94" s="31">
        <f t="shared" si="10"/>
        <v>1463</v>
      </c>
      <c r="G94" s="31">
        <v>0</v>
      </c>
      <c r="H94" s="38">
        <v>1463</v>
      </c>
      <c r="I94" s="38">
        <v>1463</v>
      </c>
      <c r="J94" s="31"/>
      <c r="K94" s="31"/>
      <c r="L94" s="31">
        <v>1025</v>
      </c>
      <c r="M94" s="31"/>
      <c r="N94" s="31"/>
      <c r="O94" s="31">
        <f t="shared" si="11"/>
        <v>1025</v>
      </c>
    </row>
    <row r="95" spans="1:15" ht="15.75">
      <c r="A95" s="30">
        <v>6</v>
      </c>
      <c r="B95" s="34" t="s">
        <v>158</v>
      </c>
      <c r="C95" s="33"/>
      <c r="D95" s="33"/>
      <c r="E95" s="33"/>
      <c r="F95" s="31"/>
      <c r="G95" s="31"/>
      <c r="H95" s="38"/>
      <c r="I95" s="38"/>
      <c r="J95" s="31"/>
      <c r="K95" s="31"/>
      <c r="L95" s="31"/>
      <c r="M95" s="31">
        <v>1150</v>
      </c>
      <c r="N95" s="31">
        <v>4150</v>
      </c>
      <c r="O95" s="31">
        <f t="shared" si="11"/>
        <v>5300</v>
      </c>
    </row>
    <row r="96" spans="1:15" ht="16.5" customHeight="1">
      <c r="A96" s="30">
        <v>7</v>
      </c>
      <c r="B96" s="34" t="s">
        <v>84</v>
      </c>
      <c r="C96" s="33">
        <v>6</v>
      </c>
      <c r="D96" s="33">
        <f>22+192</f>
        <v>214</v>
      </c>
      <c r="E96" s="33">
        <f>70+151</f>
        <v>221</v>
      </c>
      <c r="F96" s="31">
        <f t="shared" si="10"/>
        <v>441</v>
      </c>
      <c r="G96" s="31">
        <v>17</v>
      </c>
      <c r="H96" s="38">
        <v>469</v>
      </c>
      <c r="I96" s="38">
        <v>469</v>
      </c>
      <c r="J96" s="31"/>
      <c r="K96" s="31"/>
      <c r="L96" s="31"/>
      <c r="M96" s="31"/>
      <c r="N96" s="31"/>
      <c r="O96" s="31">
        <f t="shared" si="11"/>
        <v>0</v>
      </c>
    </row>
    <row r="97" spans="1:15" ht="15.75">
      <c r="A97" s="30">
        <v>8</v>
      </c>
      <c r="B97" s="34" t="s">
        <v>85</v>
      </c>
      <c r="C97" s="33">
        <f>8+72</f>
        <v>80</v>
      </c>
      <c r="D97" s="33">
        <f>17+8</f>
        <v>25</v>
      </c>
      <c r="E97" s="33">
        <f>16+26</f>
        <v>42</v>
      </c>
      <c r="F97" s="31">
        <f t="shared" si="10"/>
        <v>147</v>
      </c>
      <c r="G97" s="31">
        <v>30</v>
      </c>
      <c r="H97" s="38">
        <v>385</v>
      </c>
      <c r="I97" s="38">
        <v>385</v>
      </c>
      <c r="J97" s="31">
        <v>25</v>
      </c>
      <c r="K97" s="31">
        <v>7</v>
      </c>
      <c r="L97" s="31">
        <v>47</v>
      </c>
      <c r="M97" s="31">
        <v>16</v>
      </c>
      <c r="N97" s="31">
        <f>5+19</f>
        <v>24</v>
      </c>
      <c r="O97" s="31">
        <f t="shared" si="11"/>
        <v>119</v>
      </c>
    </row>
    <row r="98" spans="1:15" ht="15.75">
      <c r="A98" s="30">
        <v>9</v>
      </c>
      <c r="B98" s="34" t="s">
        <v>86</v>
      </c>
      <c r="C98" s="33">
        <v>443</v>
      </c>
      <c r="D98" s="33">
        <v>1000</v>
      </c>
      <c r="E98" s="33"/>
      <c r="F98" s="31">
        <f t="shared" si="10"/>
        <v>1443</v>
      </c>
      <c r="G98" s="31"/>
      <c r="H98" s="38">
        <v>1643</v>
      </c>
      <c r="I98" s="38">
        <v>1643</v>
      </c>
      <c r="J98" s="31"/>
      <c r="K98" s="31"/>
      <c r="L98" s="31"/>
      <c r="M98" s="31"/>
      <c r="N98" s="31"/>
      <c r="O98" s="31">
        <f t="shared" si="11"/>
        <v>0</v>
      </c>
    </row>
    <row r="99" spans="1:15" ht="15.75">
      <c r="A99" s="30">
        <v>10</v>
      </c>
      <c r="B99" s="34" t="s">
        <v>87</v>
      </c>
      <c r="C99" s="33">
        <v>7</v>
      </c>
      <c r="D99" s="33"/>
      <c r="E99" s="33"/>
      <c r="F99" s="31">
        <f t="shared" si="10"/>
        <v>7</v>
      </c>
      <c r="G99" s="31"/>
      <c r="H99" s="38">
        <v>7</v>
      </c>
      <c r="I99" s="38">
        <v>7</v>
      </c>
      <c r="J99" s="31"/>
      <c r="K99" s="31"/>
      <c r="L99" s="31"/>
      <c r="M99" s="31"/>
      <c r="N99" s="31"/>
      <c r="O99" s="31">
        <f t="shared" si="11"/>
        <v>0</v>
      </c>
    </row>
    <row r="100" spans="1:15" ht="15.75">
      <c r="A100" s="30">
        <v>11</v>
      </c>
      <c r="B100" s="34" t="s">
        <v>89</v>
      </c>
      <c r="C100" s="33">
        <f>52</f>
        <v>52</v>
      </c>
      <c r="D100" s="33">
        <f>15+44+11</f>
        <v>70</v>
      </c>
      <c r="E100" s="33">
        <f>18+10+74+100+1</f>
        <v>203</v>
      </c>
      <c r="F100" s="31">
        <f t="shared" si="10"/>
        <v>325</v>
      </c>
      <c r="G100" s="31">
        <v>477</v>
      </c>
      <c r="H100" s="38">
        <v>1041</v>
      </c>
      <c r="I100" s="38">
        <v>1041</v>
      </c>
      <c r="J100" s="31">
        <v>32</v>
      </c>
      <c r="K100" s="31">
        <v>32</v>
      </c>
      <c r="L100" s="31">
        <v>16</v>
      </c>
      <c r="M100" s="31">
        <v>55</v>
      </c>
      <c r="N100" s="31">
        <f>32+59</f>
        <v>91</v>
      </c>
      <c r="O100" s="31">
        <f t="shared" si="11"/>
        <v>226</v>
      </c>
    </row>
    <row r="101" spans="1:15" ht="15.75">
      <c r="A101" s="30"/>
      <c r="B101" s="37" t="s">
        <v>90</v>
      </c>
      <c r="C101" s="38">
        <f t="shared" ref="C101:I101" si="12">SUM(C91:C100)</f>
        <v>9083</v>
      </c>
      <c r="D101" s="38">
        <f t="shared" si="12"/>
        <v>11230</v>
      </c>
      <c r="E101" s="38">
        <f t="shared" si="12"/>
        <v>17922</v>
      </c>
      <c r="F101" s="38">
        <f t="shared" si="12"/>
        <v>38235</v>
      </c>
      <c r="G101" s="38">
        <f t="shared" si="12"/>
        <v>9941</v>
      </c>
      <c r="H101" s="38">
        <f t="shared" si="12"/>
        <v>159979</v>
      </c>
      <c r="I101" s="38">
        <f t="shared" si="12"/>
        <v>159979</v>
      </c>
      <c r="J101" s="38">
        <f>SUM(J91:J100)</f>
        <v>11373</v>
      </c>
      <c r="K101" s="38">
        <f t="shared" ref="K101:O101" si="13">SUM(K91:K100)</f>
        <v>12886</v>
      </c>
      <c r="L101" s="38">
        <f t="shared" si="13"/>
        <v>17828</v>
      </c>
      <c r="M101" s="38">
        <f t="shared" si="13"/>
        <v>11903</v>
      </c>
      <c r="N101" s="38">
        <f t="shared" si="13"/>
        <v>21851</v>
      </c>
      <c r="O101" s="38">
        <f t="shared" si="13"/>
        <v>75841</v>
      </c>
    </row>
    <row r="102" spans="1:15" ht="15.75">
      <c r="A102" s="93" t="s">
        <v>91</v>
      </c>
      <c r="B102" s="94"/>
      <c r="C102" s="94"/>
      <c r="D102" s="94"/>
      <c r="E102" s="94"/>
      <c r="F102" s="95"/>
      <c r="G102" s="31"/>
      <c r="H102" s="31"/>
      <c r="I102" s="31"/>
      <c r="J102" s="30"/>
      <c r="K102" s="30"/>
      <c r="L102" s="30"/>
      <c r="M102" s="30"/>
      <c r="N102" s="30"/>
      <c r="O102" s="30"/>
    </row>
    <row r="103" spans="1:15" ht="15.75">
      <c r="A103" s="30">
        <v>12</v>
      </c>
      <c r="B103" s="34" t="s">
        <v>92</v>
      </c>
      <c r="C103" s="33">
        <f>3003</f>
        <v>3003</v>
      </c>
      <c r="D103" s="33">
        <v>2634</v>
      </c>
      <c r="E103" s="33">
        <f>2600</f>
        <v>2600</v>
      </c>
      <c r="F103" s="31">
        <f t="shared" ref="F103:F146" si="14">SUM(C103:E103)</f>
        <v>8237</v>
      </c>
      <c r="G103" s="31">
        <v>2884</v>
      </c>
      <c r="H103" s="38">
        <v>30864</v>
      </c>
      <c r="I103" s="38">
        <v>30864</v>
      </c>
      <c r="J103" s="31">
        <v>2224</v>
      </c>
      <c r="K103" s="31">
        <v>2550</v>
      </c>
      <c r="L103" s="31">
        <v>2264</v>
      </c>
      <c r="M103" s="31">
        <v>2376</v>
      </c>
      <c r="N103" s="31">
        <v>2445</v>
      </c>
      <c r="O103" s="31">
        <f>SUM(J103:K103)+L103+M103+N103</f>
        <v>11859</v>
      </c>
    </row>
    <row r="104" spans="1:15" ht="15.75">
      <c r="A104" s="30">
        <v>13</v>
      </c>
      <c r="B104" s="34" t="s">
        <v>128</v>
      </c>
      <c r="C104" s="33"/>
      <c r="D104" s="33"/>
      <c r="E104" s="33"/>
      <c r="F104" s="31"/>
      <c r="G104" s="31">
        <v>272</v>
      </c>
      <c r="H104" s="38">
        <v>4147</v>
      </c>
      <c r="I104" s="38">
        <v>4147</v>
      </c>
      <c r="J104" s="31"/>
      <c r="K104" s="31">
        <v>1556</v>
      </c>
      <c r="L104" s="31"/>
      <c r="M104" s="31"/>
      <c r="N104" s="31"/>
      <c r="O104" s="31">
        <f t="shared" ref="O104:O146" si="15">SUM(J104:K104)+L104+M104+N104</f>
        <v>1556</v>
      </c>
    </row>
    <row r="105" spans="1:15" ht="15.75">
      <c r="A105" s="30">
        <v>14</v>
      </c>
      <c r="B105" s="34" t="s">
        <v>148</v>
      </c>
      <c r="C105" s="33"/>
      <c r="D105" s="33"/>
      <c r="E105" s="33"/>
      <c r="F105" s="31"/>
      <c r="G105" s="31"/>
      <c r="H105" s="38"/>
      <c r="I105" s="38"/>
      <c r="J105" s="31"/>
      <c r="K105" s="31"/>
      <c r="L105" s="31">
        <v>763</v>
      </c>
      <c r="M105" s="31"/>
      <c r="N105" s="31"/>
      <c r="O105" s="31">
        <f t="shared" si="15"/>
        <v>763</v>
      </c>
    </row>
    <row r="106" spans="1:15" ht="15.75">
      <c r="A106" s="30">
        <v>15</v>
      </c>
      <c r="B106" s="34" t="s">
        <v>93</v>
      </c>
      <c r="C106" s="33">
        <v>65</v>
      </c>
      <c r="D106" s="33"/>
      <c r="E106" s="33"/>
      <c r="F106" s="31">
        <f t="shared" si="14"/>
        <v>65</v>
      </c>
      <c r="G106" s="31"/>
      <c r="H106" s="38">
        <v>720</v>
      </c>
      <c r="I106" s="38">
        <v>720</v>
      </c>
      <c r="J106" s="31"/>
      <c r="K106" s="31">
        <v>70</v>
      </c>
      <c r="L106" s="31"/>
      <c r="M106" s="31"/>
      <c r="N106" s="31"/>
      <c r="O106" s="31">
        <f t="shared" si="15"/>
        <v>70</v>
      </c>
    </row>
    <row r="107" spans="1:15" ht="15.75">
      <c r="A107" s="30">
        <v>16</v>
      </c>
      <c r="B107" s="35" t="s">
        <v>94</v>
      </c>
      <c r="C107" s="33">
        <v>3939</v>
      </c>
      <c r="D107" s="33">
        <f>45+2241</f>
        <v>2286</v>
      </c>
      <c r="E107" s="33">
        <v>1866</v>
      </c>
      <c r="F107" s="31">
        <f t="shared" si="14"/>
        <v>8091</v>
      </c>
      <c r="G107" s="31">
        <v>4869</v>
      </c>
      <c r="H107" s="38">
        <v>37501</v>
      </c>
      <c r="I107" s="38">
        <v>37501</v>
      </c>
      <c r="J107" s="31">
        <v>1706</v>
      </c>
      <c r="K107" s="31">
        <v>796</v>
      </c>
      <c r="L107" s="31">
        <v>5235</v>
      </c>
      <c r="M107" s="31">
        <v>1491</v>
      </c>
      <c r="N107" s="31">
        <v>2269</v>
      </c>
      <c r="O107" s="31">
        <f t="shared" si="15"/>
        <v>11497</v>
      </c>
    </row>
    <row r="108" spans="1:15" ht="15.75">
      <c r="A108" s="30">
        <v>17</v>
      </c>
      <c r="B108" s="34" t="s">
        <v>95</v>
      </c>
      <c r="C108" s="33">
        <v>1183</v>
      </c>
      <c r="D108" s="33">
        <v>859</v>
      </c>
      <c r="E108" s="33">
        <f>1081</f>
        <v>1081</v>
      </c>
      <c r="F108" s="31">
        <f t="shared" si="14"/>
        <v>3123</v>
      </c>
      <c r="G108" s="31">
        <v>998</v>
      </c>
      <c r="H108" s="38">
        <v>10422</v>
      </c>
      <c r="I108" s="38">
        <v>10422</v>
      </c>
      <c r="J108" s="31">
        <v>477</v>
      </c>
      <c r="K108" s="31">
        <v>627</v>
      </c>
      <c r="L108" s="31">
        <v>672</v>
      </c>
      <c r="M108" s="31">
        <v>606</v>
      </c>
      <c r="N108" s="31">
        <v>829</v>
      </c>
      <c r="O108" s="31">
        <f t="shared" si="15"/>
        <v>3211</v>
      </c>
    </row>
    <row r="109" spans="1:15" ht="15.75">
      <c r="A109" s="30">
        <v>18</v>
      </c>
      <c r="B109" s="34" t="s">
        <v>96</v>
      </c>
      <c r="C109" s="33"/>
      <c r="D109" s="33">
        <v>298</v>
      </c>
      <c r="E109" s="33"/>
      <c r="F109" s="31">
        <f t="shared" si="14"/>
        <v>298</v>
      </c>
      <c r="G109" s="31">
        <v>684</v>
      </c>
      <c r="H109" s="38">
        <v>2947</v>
      </c>
      <c r="I109" s="38">
        <v>2947</v>
      </c>
      <c r="J109" s="31"/>
      <c r="K109" s="31">
        <v>171</v>
      </c>
      <c r="L109" s="31">
        <v>459</v>
      </c>
      <c r="M109" s="31">
        <v>599</v>
      </c>
      <c r="N109" s="31"/>
      <c r="O109" s="31">
        <f t="shared" si="15"/>
        <v>1229</v>
      </c>
    </row>
    <row r="110" spans="1:15" ht="15.75">
      <c r="A110" s="30">
        <v>19</v>
      </c>
      <c r="B110" s="35" t="s">
        <v>97</v>
      </c>
      <c r="C110" s="33">
        <f>1+1+1+2248+3+21</f>
        <v>2275</v>
      </c>
      <c r="D110" s="33">
        <f>18+3+706+11</f>
        <v>738</v>
      </c>
      <c r="E110" s="33">
        <f>9+4+306+1+13</f>
        <v>333</v>
      </c>
      <c r="F110" s="31">
        <f t="shared" si="14"/>
        <v>3346</v>
      </c>
      <c r="G110" s="31">
        <v>1088</v>
      </c>
      <c r="H110" s="38">
        <v>13758</v>
      </c>
      <c r="I110" s="38">
        <v>13758</v>
      </c>
      <c r="J110" s="31">
        <v>1483</v>
      </c>
      <c r="K110" s="31">
        <v>884</v>
      </c>
      <c r="L110" s="31">
        <v>2154</v>
      </c>
      <c r="M110" s="31">
        <v>2488</v>
      </c>
      <c r="N110" s="31">
        <f>37+862+24</f>
        <v>923</v>
      </c>
      <c r="O110" s="31">
        <f t="shared" si="15"/>
        <v>7932</v>
      </c>
    </row>
    <row r="111" spans="1:15" ht="15.75">
      <c r="A111" s="30">
        <v>20</v>
      </c>
      <c r="B111" s="34" t="s">
        <v>98</v>
      </c>
      <c r="C111" s="33">
        <f>8+104</f>
        <v>112</v>
      </c>
      <c r="D111" s="33">
        <v>70</v>
      </c>
      <c r="E111" s="33">
        <v>99</v>
      </c>
      <c r="F111" s="31">
        <f t="shared" si="14"/>
        <v>281</v>
      </c>
      <c r="G111" s="31">
        <v>238</v>
      </c>
      <c r="H111" s="38">
        <v>1120</v>
      </c>
      <c r="I111" s="38">
        <v>1120</v>
      </c>
      <c r="J111" s="31">
        <v>3</v>
      </c>
      <c r="K111" s="31">
        <v>49</v>
      </c>
      <c r="L111" s="31">
        <v>60</v>
      </c>
      <c r="M111" s="31">
        <v>94</v>
      </c>
      <c r="N111" s="31">
        <v>2</v>
      </c>
      <c r="O111" s="31">
        <f t="shared" si="15"/>
        <v>208</v>
      </c>
    </row>
    <row r="112" spans="1:15" ht="15.75">
      <c r="A112" s="30">
        <v>21</v>
      </c>
      <c r="B112" s="34" t="s">
        <v>99</v>
      </c>
      <c r="C112" s="33">
        <v>2461</v>
      </c>
      <c r="D112" s="33">
        <v>1025</v>
      </c>
      <c r="E112" s="33">
        <f>313+2+9</f>
        <v>324</v>
      </c>
      <c r="F112" s="31">
        <f t="shared" si="14"/>
        <v>3810</v>
      </c>
      <c r="G112" s="31">
        <v>309</v>
      </c>
      <c r="H112" s="38">
        <v>21472</v>
      </c>
      <c r="I112" s="38">
        <v>21472</v>
      </c>
      <c r="J112" s="31">
        <v>3962</v>
      </c>
      <c r="K112" s="31">
        <v>3565</v>
      </c>
      <c r="L112" s="31">
        <v>316</v>
      </c>
      <c r="M112" s="31">
        <v>10</v>
      </c>
      <c r="N112" s="31">
        <f>5675</f>
        <v>5675</v>
      </c>
      <c r="O112" s="31">
        <f t="shared" si="15"/>
        <v>13528</v>
      </c>
    </row>
    <row r="113" spans="1:15" ht="15.75">
      <c r="A113" s="30">
        <v>22</v>
      </c>
      <c r="B113" s="34" t="s">
        <v>100</v>
      </c>
      <c r="C113" s="33">
        <v>400</v>
      </c>
      <c r="D113" s="33">
        <f>11+350</f>
        <v>361</v>
      </c>
      <c r="E113" s="33">
        <v>500</v>
      </c>
      <c r="F113" s="31">
        <f t="shared" si="14"/>
        <v>1261</v>
      </c>
      <c r="G113" s="31">
        <v>907</v>
      </c>
      <c r="H113" s="38">
        <v>5299</v>
      </c>
      <c r="I113" s="38">
        <v>5299</v>
      </c>
      <c r="J113" s="31">
        <v>600</v>
      </c>
      <c r="K113" s="31">
        <v>600</v>
      </c>
      <c r="L113" s="31">
        <v>700</v>
      </c>
      <c r="M113" s="31">
        <v>300</v>
      </c>
      <c r="N113" s="31">
        <f>4+200</f>
        <v>204</v>
      </c>
      <c r="O113" s="31">
        <f t="shared" si="15"/>
        <v>2404</v>
      </c>
    </row>
    <row r="114" spans="1:15" ht="15.75">
      <c r="A114" s="30">
        <v>23</v>
      </c>
      <c r="B114" s="34" t="s">
        <v>101</v>
      </c>
      <c r="C114" s="33">
        <v>398</v>
      </c>
      <c r="D114" s="33">
        <v>398</v>
      </c>
      <c r="E114" s="33"/>
      <c r="F114" s="31">
        <f t="shared" si="14"/>
        <v>796</v>
      </c>
      <c r="G114" s="31">
        <v>100</v>
      </c>
      <c r="H114" s="38">
        <v>2751</v>
      </c>
      <c r="I114" s="38">
        <v>2751</v>
      </c>
      <c r="J114" s="31"/>
      <c r="K114" s="31"/>
      <c r="L114" s="31"/>
      <c r="M114" s="31"/>
      <c r="N114" s="31"/>
      <c r="O114" s="31">
        <f t="shared" si="15"/>
        <v>0</v>
      </c>
    </row>
    <row r="115" spans="1:15" ht="15.75">
      <c r="A115" s="30">
        <v>24</v>
      </c>
      <c r="B115" s="34" t="s">
        <v>102</v>
      </c>
      <c r="C115" s="33">
        <v>27</v>
      </c>
      <c r="D115" s="33">
        <f>1+31</f>
        <v>32</v>
      </c>
      <c r="E115" s="33">
        <f>77</f>
        <v>77</v>
      </c>
      <c r="F115" s="31">
        <f t="shared" si="14"/>
        <v>136</v>
      </c>
      <c r="G115" s="31">
        <v>138</v>
      </c>
      <c r="H115" s="38">
        <v>730</v>
      </c>
      <c r="I115" s="38">
        <v>730</v>
      </c>
      <c r="J115" s="31">
        <v>135</v>
      </c>
      <c r="K115" s="31">
        <v>128</v>
      </c>
      <c r="L115" s="31">
        <v>93</v>
      </c>
      <c r="M115" s="31">
        <v>58</v>
      </c>
      <c r="N115" s="31">
        <f>15+1+6</f>
        <v>22</v>
      </c>
      <c r="O115" s="31">
        <f t="shared" si="15"/>
        <v>436</v>
      </c>
    </row>
    <row r="116" spans="1:15" ht="15.75">
      <c r="A116" s="30">
        <v>25</v>
      </c>
      <c r="B116" s="34" t="s">
        <v>103</v>
      </c>
      <c r="C116" s="33"/>
      <c r="D116" s="33"/>
      <c r="E116" s="33">
        <f>13</f>
        <v>13</v>
      </c>
      <c r="F116" s="31">
        <f t="shared" si="14"/>
        <v>13</v>
      </c>
      <c r="G116" s="31">
        <v>2</v>
      </c>
      <c r="H116" s="38">
        <v>26</v>
      </c>
      <c r="I116" s="38">
        <v>26</v>
      </c>
      <c r="J116" s="31">
        <v>2</v>
      </c>
      <c r="K116" s="31">
        <v>2</v>
      </c>
      <c r="L116" s="31">
        <v>1</v>
      </c>
      <c r="M116" s="31">
        <v>1</v>
      </c>
      <c r="N116" s="31"/>
      <c r="O116" s="31">
        <f t="shared" si="15"/>
        <v>6</v>
      </c>
    </row>
    <row r="117" spans="1:15" ht="15.75">
      <c r="A117" s="30">
        <v>26</v>
      </c>
      <c r="B117" s="34" t="s">
        <v>104</v>
      </c>
      <c r="C117" s="33">
        <f>2+25</f>
        <v>27</v>
      </c>
      <c r="D117" s="33">
        <f>2+22</f>
        <v>24</v>
      </c>
      <c r="E117" s="33">
        <f>3+13</f>
        <v>16</v>
      </c>
      <c r="F117" s="31">
        <f t="shared" si="14"/>
        <v>67</v>
      </c>
      <c r="G117" s="31">
        <v>20</v>
      </c>
      <c r="H117" s="38">
        <v>296</v>
      </c>
      <c r="I117" s="38">
        <v>296</v>
      </c>
      <c r="J117" s="31">
        <v>24</v>
      </c>
      <c r="K117" s="31">
        <v>23</v>
      </c>
      <c r="L117" s="31">
        <v>21</v>
      </c>
      <c r="M117" s="31">
        <v>22</v>
      </c>
      <c r="N117" s="31">
        <f>19+3</f>
        <v>22</v>
      </c>
      <c r="O117" s="31">
        <f t="shared" si="15"/>
        <v>112</v>
      </c>
    </row>
    <row r="118" spans="1:15" ht="15.75">
      <c r="A118" s="30">
        <v>27</v>
      </c>
      <c r="B118" s="34" t="s">
        <v>105</v>
      </c>
      <c r="C118" s="33">
        <f>73</f>
        <v>73</v>
      </c>
      <c r="D118" s="33">
        <v>9</v>
      </c>
      <c r="E118" s="33">
        <v>26</v>
      </c>
      <c r="F118" s="31">
        <f t="shared" si="14"/>
        <v>108</v>
      </c>
      <c r="G118" s="31">
        <v>17</v>
      </c>
      <c r="H118" s="38">
        <v>237</v>
      </c>
      <c r="I118" s="38">
        <v>237</v>
      </c>
      <c r="J118" s="31"/>
      <c r="K118" s="31"/>
      <c r="L118" s="31">
        <v>10</v>
      </c>
      <c r="M118" s="31">
        <v>12</v>
      </c>
      <c r="N118" s="31"/>
      <c r="O118" s="31">
        <f t="shared" si="15"/>
        <v>22</v>
      </c>
    </row>
    <row r="119" spans="1:15" ht="15.75">
      <c r="A119" s="30">
        <v>28</v>
      </c>
      <c r="B119" s="34" t="s">
        <v>106</v>
      </c>
      <c r="C119" s="33">
        <f>16</f>
        <v>16</v>
      </c>
      <c r="D119" s="33"/>
      <c r="E119" s="33">
        <f>14+5</f>
        <v>19</v>
      </c>
      <c r="F119" s="31">
        <f t="shared" si="14"/>
        <v>35</v>
      </c>
      <c r="G119" s="31">
        <v>111</v>
      </c>
      <c r="H119" s="38">
        <v>351</v>
      </c>
      <c r="I119" s="38">
        <v>351</v>
      </c>
      <c r="J119" s="31">
        <v>19</v>
      </c>
      <c r="K119" s="31"/>
      <c r="L119" s="31">
        <v>19</v>
      </c>
      <c r="M119" s="31">
        <v>10</v>
      </c>
      <c r="N119" s="31">
        <v>8</v>
      </c>
      <c r="O119" s="31">
        <f t="shared" si="15"/>
        <v>56</v>
      </c>
    </row>
    <row r="120" spans="1:15" ht="15.75">
      <c r="A120" s="30">
        <v>29</v>
      </c>
      <c r="B120" s="34" t="s">
        <v>145</v>
      </c>
      <c r="C120" s="33"/>
      <c r="D120" s="33"/>
      <c r="E120" s="33"/>
      <c r="F120" s="31"/>
      <c r="G120" s="31"/>
      <c r="H120" s="38"/>
      <c r="I120" s="38"/>
      <c r="J120" s="31"/>
      <c r="K120" s="31">
        <v>40</v>
      </c>
      <c r="L120" s="31"/>
      <c r="M120" s="31"/>
      <c r="N120" s="31"/>
      <c r="O120" s="31">
        <f t="shared" si="15"/>
        <v>40</v>
      </c>
    </row>
    <row r="121" spans="1:15" ht="15.75">
      <c r="A121" s="30">
        <v>30</v>
      </c>
      <c r="B121" s="34" t="s">
        <v>107</v>
      </c>
      <c r="C121" s="33"/>
      <c r="D121" s="33">
        <v>97</v>
      </c>
      <c r="E121" s="33"/>
      <c r="F121" s="31">
        <f t="shared" si="14"/>
        <v>97</v>
      </c>
      <c r="G121" s="31"/>
      <c r="H121" s="38">
        <v>122</v>
      </c>
      <c r="I121" s="38">
        <v>122</v>
      </c>
      <c r="J121" s="31"/>
      <c r="K121" s="31"/>
      <c r="L121" s="31">
        <v>161</v>
      </c>
      <c r="M121" s="31"/>
      <c r="N121" s="31"/>
      <c r="O121" s="31">
        <f t="shared" si="15"/>
        <v>161</v>
      </c>
    </row>
    <row r="122" spans="1:15" ht="15.75">
      <c r="A122" s="30">
        <v>31</v>
      </c>
      <c r="B122" s="34" t="s">
        <v>108</v>
      </c>
      <c r="C122" s="33">
        <v>96</v>
      </c>
      <c r="D122" s="33"/>
      <c r="E122" s="33"/>
      <c r="F122" s="31">
        <f t="shared" si="14"/>
        <v>96</v>
      </c>
      <c r="G122" s="31">
        <v>114</v>
      </c>
      <c r="H122" s="38">
        <v>913</v>
      </c>
      <c r="I122" s="38">
        <v>913</v>
      </c>
      <c r="J122" s="31"/>
      <c r="K122" s="31"/>
      <c r="L122" s="31"/>
      <c r="M122" s="31">
        <v>126</v>
      </c>
      <c r="N122" s="31"/>
      <c r="O122" s="31">
        <f t="shared" si="15"/>
        <v>126</v>
      </c>
    </row>
    <row r="123" spans="1:15" ht="17.25" customHeight="1">
      <c r="A123" s="30">
        <v>32</v>
      </c>
      <c r="B123" s="34" t="s">
        <v>129</v>
      </c>
      <c r="C123" s="33"/>
      <c r="D123" s="33"/>
      <c r="E123" s="33"/>
      <c r="F123" s="31"/>
      <c r="G123" s="31"/>
      <c r="H123" s="38">
        <v>13</v>
      </c>
      <c r="I123" s="38">
        <v>13</v>
      </c>
      <c r="J123" s="31"/>
      <c r="K123" s="31"/>
      <c r="L123" s="31"/>
      <c r="M123" s="31"/>
      <c r="N123" s="31"/>
      <c r="O123" s="31">
        <f t="shared" si="15"/>
        <v>0</v>
      </c>
    </row>
    <row r="124" spans="1:15" ht="47.25">
      <c r="A124" s="30">
        <v>33</v>
      </c>
      <c r="B124" s="34" t="s">
        <v>120</v>
      </c>
      <c r="C124" s="33">
        <f>9+4+85</f>
        <v>98</v>
      </c>
      <c r="D124" s="33">
        <f>7+73</f>
        <v>80</v>
      </c>
      <c r="E124" s="33">
        <f>6+2+14+23+37</f>
        <v>82</v>
      </c>
      <c r="F124" s="31">
        <f t="shared" si="14"/>
        <v>260</v>
      </c>
      <c r="G124" s="31">
        <v>54</v>
      </c>
      <c r="H124" s="38">
        <v>991</v>
      </c>
      <c r="I124" s="38">
        <v>991</v>
      </c>
      <c r="J124" s="31">
        <v>2</v>
      </c>
      <c r="K124" s="31">
        <v>40</v>
      </c>
      <c r="L124" s="31">
        <v>51</v>
      </c>
      <c r="M124" s="31">
        <v>132</v>
      </c>
      <c r="N124" s="31">
        <f>17+36</f>
        <v>53</v>
      </c>
      <c r="O124" s="31">
        <f t="shared" si="15"/>
        <v>278</v>
      </c>
    </row>
    <row r="125" spans="1:15" ht="15.75">
      <c r="A125" s="30">
        <v>34</v>
      </c>
      <c r="B125" s="34" t="s">
        <v>149</v>
      </c>
      <c r="C125" s="33"/>
      <c r="D125" s="33"/>
      <c r="E125" s="33"/>
      <c r="F125" s="31"/>
      <c r="G125" s="31"/>
      <c r="H125" s="38"/>
      <c r="I125" s="38"/>
      <c r="J125" s="31"/>
      <c r="K125" s="31"/>
      <c r="L125" s="31">
        <v>127</v>
      </c>
      <c r="M125" s="31">
        <v>213</v>
      </c>
      <c r="N125" s="31"/>
      <c r="O125" s="31">
        <f t="shared" si="15"/>
        <v>340</v>
      </c>
    </row>
    <row r="126" spans="1:15" ht="15.75">
      <c r="A126" s="30">
        <v>35</v>
      </c>
      <c r="B126" s="34" t="s">
        <v>109</v>
      </c>
      <c r="C126" s="33"/>
      <c r="D126" s="33">
        <v>10</v>
      </c>
      <c r="E126" s="33">
        <f>9</f>
        <v>9</v>
      </c>
      <c r="F126" s="31">
        <f t="shared" si="14"/>
        <v>19</v>
      </c>
      <c r="G126" s="31"/>
      <c r="H126" s="38">
        <v>205</v>
      </c>
      <c r="I126" s="38">
        <v>205</v>
      </c>
      <c r="J126" s="31"/>
      <c r="K126" s="31">
        <v>3</v>
      </c>
      <c r="L126" s="31">
        <v>2</v>
      </c>
      <c r="M126" s="31">
        <v>16</v>
      </c>
      <c r="N126" s="31">
        <v>1</v>
      </c>
      <c r="O126" s="31">
        <f t="shared" si="15"/>
        <v>22</v>
      </c>
    </row>
    <row r="127" spans="1:15" ht="15.75">
      <c r="A127" s="30">
        <v>36</v>
      </c>
      <c r="B127" s="34" t="s">
        <v>110</v>
      </c>
      <c r="C127" s="33">
        <f>23</f>
        <v>23</v>
      </c>
      <c r="D127" s="33">
        <v>7</v>
      </c>
      <c r="E127" s="33">
        <v>483</v>
      </c>
      <c r="F127" s="31">
        <f t="shared" si="14"/>
        <v>513</v>
      </c>
      <c r="G127" s="31">
        <v>2</v>
      </c>
      <c r="H127" s="38">
        <v>777</v>
      </c>
      <c r="I127" s="38">
        <v>777</v>
      </c>
      <c r="J127" s="31"/>
      <c r="K127" s="31">
        <v>180</v>
      </c>
      <c r="L127" s="31"/>
      <c r="M127" s="31">
        <v>5</v>
      </c>
      <c r="N127" s="31">
        <v>1</v>
      </c>
      <c r="O127" s="31">
        <f t="shared" si="15"/>
        <v>186</v>
      </c>
    </row>
    <row r="128" spans="1:15" ht="15.75">
      <c r="A128" s="30">
        <v>37</v>
      </c>
      <c r="B128" s="34" t="s">
        <v>111</v>
      </c>
      <c r="C128" s="33">
        <v>10</v>
      </c>
      <c r="D128" s="33"/>
      <c r="E128" s="33">
        <f>1+20</f>
        <v>21</v>
      </c>
      <c r="F128" s="31">
        <f t="shared" si="14"/>
        <v>31</v>
      </c>
      <c r="G128" s="31">
        <v>2</v>
      </c>
      <c r="H128" s="38">
        <v>154</v>
      </c>
      <c r="I128" s="38">
        <v>154</v>
      </c>
      <c r="J128" s="31">
        <v>10</v>
      </c>
      <c r="K128" s="31">
        <v>1</v>
      </c>
      <c r="L128" s="31">
        <v>11</v>
      </c>
      <c r="M128" s="31">
        <v>10</v>
      </c>
      <c r="N128" s="31"/>
      <c r="O128" s="31">
        <f t="shared" si="15"/>
        <v>32</v>
      </c>
    </row>
    <row r="129" spans="1:15" ht="15.75">
      <c r="A129" s="30">
        <v>38</v>
      </c>
      <c r="B129" s="34" t="s">
        <v>121</v>
      </c>
      <c r="C129" s="33">
        <f>7</f>
        <v>7</v>
      </c>
      <c r="D129" s="33">
        <v>3</v>
      </c>
      <c r="E129" s="33"/>
      <c r="F129" s="31">
        <f t="shared" si="14"/>
        <v>10</v>
      </c>
      <c r="G129" s="31">
        <v>12</v>
      </c>
      <c r="H129" s="38">
        <v>366</v>
      </c>
      <c r="I129" s="38">
        <v>366</v>
      </c>
      <c r="J129" s="31"/>
      <c r="K129" s="31"/>
      <c r="L129" s="31"/>
      <c r="M129" s="31"/>
      <c r="N129" s="31">
        <v>3</v>
      </c>
      <c r="O129" s="31">
        <f t="shared" si="15"/>
        <v>3</v>
      </c>
    </row>
    <row r="130" spans="1:15" ht="15.75">
      <c r="A130" s="30">
        <v>39</v>
      </c>
      <c r="B130" s="34" t="s">
        <v>112</v>
      </c>
      <c r="C130" s="33">
        <f>21</f>
        <v>21</v>
      </c>
      <c r="D130" s="33">
        <v>41</v>
      </c>
      <c r="E130" s="33">
        <f>18</f>
        <v>18</v>
      </c>
      <c r="F130" s="31">
        <f t="shared" si="14"/>
        <v>80</v>
      </c>
      <c r="G130" s="31">
        <v>45</v>
      </c>
      <c r="H130" s="38">
        <v>325</v>
      </c>
      <c r="I130" s="38">
        <v>325</v>
      </c>
      <c r="J130" s="31">
        <v>27</v>
      </c>
      <c r="K130" s="31">
        <v>20</v>
      </c>
      <c r="L130" s="31">
        <v>59</v>
      </c>
      <c r="M130" s="31">
        <v>41</v>
      </c>
      <c r="N130" s="31">
        <v>29</v>
      </c>
      <c r="O130" s="31">
        <f t="shared" si="15"/>
        <v>176</v>
      </c>
    </row>
    <row r="131" spans="1:15" ht="15.75">
      <c r="A131" s="30">
        <v>40</v>
      </c>
      <c r="B131" s="34" t="s">
        <v>113</v>
      </c>
      <c r="C131" s="33"/>
      <c r="D131" s="33">
        <v>87</v>
      </c>
      <c r="E131" s="33"/>
      <c r="F131" s="31">
        <f t="shared" si="14"/>
        <v>87</v>
      </c>
      <c r="G131" s="31"/>
      <c r="H131" s="38">
        <v>96</v>
      </c>
      <c r="I131" s="38">
        <v>96</v>
      </c>
      <c r="J131" s="31"/>
      <c r="K131" s="31">
        <v>33</v>
      </c>
      <c r="L131" s="31">
        <v>73</v>
      </c>
      <c r="M131" s="31">
        <v>70</v>
      </c>
      <c r="N131" s="31">
        <v>6</v>
      </c>
      <c r="O131" s="31">
        <f t="shared" si="15"/>
        <v>182</v>
      </c>
    </row>
    <row r="132" spans="1:15" ht="31.5">
      <c r="A132" s="30">
        <v>41</v>
      </c>
      <c r="B132" s="34" t="s">
        <v>150</v>
      </c>
      <c r="C132" s="33"/>
      <c r="D132" s="33"/>
      <c r="E132" s="33"/>
      <c r="F132" s="31"/>
      <c r="G132" s="31"/>
      <c r="H132" s="38"/>
      <c r="I132" s="38"/>
      <c r="J132" s="31"/>
      <c r="K132" s="31"/>
      <c r="L132" s="31">
        <v>5</v>
      </c>
      <c r="M132" s="31"/>
      <c r="N132" s="31">
        <v>1</v>
      </c>
      <c r="O132" s="31">
        <f t="shared" si="15"/>
        <v>6</v>
      </c>
    </row>
    <row r="133" spans="1:15" ht="15.75">
      <c r="A133" s="30">
        <v>42</v>
      </c>
      <c r="B133" s="34" t="s">
        <v>151</v>
      </c>
      <c r="C133" s="33"/>
      <c r="D133" s="33"/>
      <c r="E133" s="33"/>
      <c r="F133" s="31"/>
      <c r="G133" s="31"/>
      <c r="H133" s="38"/>
      <c r="I133" s="38"/>
      <c r="J133" s="31"/>
      <c r="K133" s="31"/>
      <c r="L133" s="31">
        <v>9</v>
      </c>
      <c r="M133" s="31">
        <v>114</v>
      </c>
      <c r="N133" s="31">
        <v>2</v>
      </c>
      <c r="O133" s="31">
        <f t="shared" si="15"/>
        <v>125</v>
      </c>
    </row>
    <row r="134" spans="1:15" ht="15.75">
      <c r="A134" s="30">
        <v>43</v>
      </c>
      <c r="B134" s="34" t="s">
        <v>114</v>
      </c>
      <c r="C134" s="33"/>
      <c r="D134" s="33"/>
      <c r="E134" s="33">
        <f>2</f>
        <v>2</v>
      </c>
      <c r="F134" s="31">
        <f t="shared" si="14"/>
        <v>2</v>
      </c>
      <c r="G134" s="31"/>
      <c r="H134" s="38">
        <v>126</v>
      </c>
      <c r="I134" s="38">
        <v>126</v>
      </c>
      <c r="J134" s="31">
        <v>11</v>
      </c>
      <c r="K134" s="31"/>
      <c r="L134" s="31">
        <v>41</v>
      </c>
      <c r="M134" s="31">
        <v>29</v>
      </c>
      <c r="N134" s="31">
        <v>32</v>
      </c>
      <c r="O134" s="31">
        <f t="shared" si="15"/>
        <v>113</v>
      </c>
    </row>
    <row r="135" spans="1:15" ht="15.75">
      <c r="A135" s="30">
        <v>44</v>
      </c>
      <c r="B135" s="34" t="s">
        <v>130</v>
      </c>
      <c r="C135" s="33"/>
      <c r="D135" s="33"/>
      <c r="E135" s="33"/>
      <c r="F135" s="31"/>
      <c r="G135" s="31"/>
      <c r="H135" s="38">
        <v>1595</v>
      </c>
      <c r="I135" s="38">
        <v>1595</v>
      </c>
      <c r="J135" s="31"/>
      <c r="K135" s="31"/>
      <c r="L135" s="31"/>
      <c r="M135" s="31"/>
      <c r="N135" s="31"/>
      <c r="O135" s="31">
        <f t="shared" si="15"/>
        <v>0</v>
      </c>
    </row>
    <row r="136" spans="1:15" ht="15.75">
      <c r="A136" s="30">
        <v>45</v>
      </c>
      <c r="B136" s="35" t="s">
        <v>115</v>
      </c>
      <c r="C136" s="33">
        <v>1691</v>
      </c>
      <c r="D136" s="33">
        <v>2096</v>
      </c>
      <c r="E136" s="33">
        <f>84+991+13+397</f>
        <v>1485</v>
      </c>
      <c r="F136" s="31">
        <f t="shared" si="14"/>
        <v>5272</v>
      </c>
      <c r="G136" s="31">
        <v>1415</v>
      </c>
      <c r="H136" s="38">
        <v>17882</v>
      </c>
      <c r="I136" s="38">
        <v>17882</v>
      </c>
      <c r="J136" s="31">
        <v>1853</v>
      </c>
      <c r="K136" s="31">
        <v>1614</v>
      </c>
      <c r="L136" s="31">
        <v>1400</v>
      </c>
      <c r="M136" s="31">
        <v>1807</v>
      </c>
      <c r="N136" s="31">
        <v>1240</v>
      </c>
      <c r="O136" s="31">
        <f t="shared" si="15"/>
        <v>7914</v>
      </c>
    </row>
    <row r="137" spans="1:15" ht="15.75">
      <c r="A137" s="30">
        <v>46</v>
      </c>
      <c r="B137" s="34" t="s">
        <v>88</v>
      </c>
      <c r="C137" s="33"/>
      <c r="D137" s="33"/>
      <c r="E137" s="33">
        <f>2+1</f>
        <v>3</v>
      </c>
      <c r="F137" s="31">
        <f t="shared" si="14"/>
        <v>3</v>
      </c>
      <c r="G137" s="31">
        <v>6</v>
      </c>
      <c r="H137" s="38">
        <v>69</v>
      </c>
      <c r="I137" s="38">
        <v>69</v>
      </c>
      <c r="J137" s="31">
        <v>1</v>
      </c>
      <c r="K137" s="31"/>
      <c r="L137" s="31">
        <v>6</v>
      </c>
      <c r="M137" s="31">
        <v>11</v>
      </c>
      <c r="N137" s="31">
        <f>20+2</f>
        <v>22</v>
      </c>
      <c r="O137" s="31">
        <f t="shared" si="15"/>
        <v>40</v>
      </c>
    </row>
    <row r="138" spans="1:15" ht="15.75">
      <c r="A138" s="30">
        <v>47</v>
      </c>
      <c r="B138" s="34" t="s">
        <v>116</v>
      </c>
      <c r="C138" s="33">
        <v>19</v>
      </c>
      <c r="D138" s="33">
        <v>17</v>
      </c>
      <c r="E138" s="33">
        <f>17</f>
        <v>17</v>
      </c>
      <c r="F138" s="31">
        <f t="shared" si="14"/>
        <v>53</v>
      </c>
      <c r="G138" s="31">
        <v>20</v>
      </c>
      <c r="H138" s="38">
        <v>196</v>
      </c>
      <c r="I138" s="38">
        <v>196</v>
      </c>
      <c r="J138" s="31">
        <v>15</v>
      </c>
      <c r="K138" s="31">
        <v>17</v>
      </c>
      <c r="L138" s="31">
        <v>16</v>
      </c>
      <c r="M138" s="31">
        <v>17</v>
      </c>
      <c r="N138" s="31">
        <v>15</v>
      </c>
      <c r="O138" s="31">
        <f t="shared" si="15"/>
        <v>80</v>
      </c>
    </row>
    <row r="139" spans="1:15" ht="15.75">
      <c r="A139" s="30">
        <v>48</v>
      </c>
      <c r="B139" s="34" t="s">
        <v>131</v>
      </c>
      <c r="C139" s="33"/>
      <c r="D139" s="33"/>
      <c r="E139" s="33"/>
      <c r="F139" s="31"/>
      <c r="G139" s="31"/>
      <c r="H139" s="38">
        <v>305</v>
      </c>
      <c r="I139" s="38">
        <v>305</v>
      </c>
      <c r="J139" s="31"/>
      <c r="K139" s="31"/>
      <c r="L139" s="31"/>
      <c r="M139" s="31"/>
      <c r="N139" s="31"/>
      <c r="O139" s="31">
        <f t="shared" si="15"/>
        <v>0</v>
      </c>
    </row>
    <row r="140" spans="1:15" ht="15.75">
      <c r="A140" s="30">
        <v>49</v>
      </c>
      <c r="B140" s="34" t="s">
        <v>139</v>
      </c>
      <c r="C140" s="33"/>
      <c r="D140" s="33"/>
      <c r="E140" s="33"/>
      <c r="F140" s="31"/>
      <c r="G140" s="31"/>
      <c r="H140" s="38"/>
      <c r="I140" s="38"/>
      <c r="J140" s="31">
        <v>7</v>
      </c>
      <c r="K140" s="31"/>
      <c r="L140" s="31">
        <v>44</v>
      </c>
      <c r="M140" s="31">
        <v>2</v>
      </c>
      <c r="N140" s="31"/>
      <c r="O140" s="31">
        <f t="shared" si="15"/>
        <v>53</v>
      </c>
    </row>
    <row r="141" spans="1:15" ht="31.5">
      <c r="A141" s="30">
        <v>50</v>
      </c>
      <c r="B141" s="34" t="s">
        <v>140</v>
      </c>
      <c r="C141" s="33"/>
      <c r="D141" s="33"/>
      <c r="E141" s="33"/>
      <c r="F141" s="31"/>
      <c r="G141" s="31"/>
      <c r="H141" s="38"/>
      <c r="I141" s="38"/>
      <c r="J141" s="31">
        <v>1</v>
      </c>
      <c r="K141" s="31">
        <v>2</v>
      </c>
      <c r="L141" s="31">
        <v>21</v>
      </c>
      <c r="M141" s="31">
        <v>2</v>
      </c>
      <c r="N141" s="31">
        <v>1</v>
      </c>
      <c r="O141" s="31">
        <f t="shared" si="15"/>
        <v>27</v>
      </c>
    </row>
    <row r="142" spans="1:15" ht="15.75">
      <c r="A142" s="30">
        <v>51</v>
      </c>
      <c r="B142" s="34" t="s">
        <v>141</v>
      </c>
      <c r="C142" s="33"/>
      <c r="D142" s="33"/>
      <c r="E142" s="33"/>
      <c r="F142" s="31"/>
      <c r="G142" s="31"/>
      <c r="H142" s="38"/>
      <c r="I142" s="38"/>
      <c r="J142" s="31">
        <v>57</v>
      </c>
      <c r="K142" s="31"/>
      <c r="L142" s="31">
        <v>96</v>
      </c>
      <c r="M142" s="31"/>
      <c r="N142" s="31">
        <v>1</v>
      </c>
      <c r="O142" s="31">
        <f t="shared" si="15"/>
        <v>154</v>
      </c>
    </row>
    <row r="143" spans="1:15" ht="31.5">
      <c r="A143" s="30">
        <v>52</v>
      </c>
      <c r="B143" s="34" t="s">
        <v>142</v>
      </c>
      <c r="C143" s="33"/>
      <c r="D143" s="33"/>
      <c r="E143" s="33"/>
      <c r="F143" s="31"/>
      <c r="G143" s="31"/>
      <c r="H143" s="38"/>
      <c r="I143" s="38"/>
      <c r="J143" s="31">
        <v>8</v>
      </c>
      <c r="K143" s="31"/>
      <c r="L143" s="31"/>
      <c r="M143" s="31">
        <v>8</v>
      </c>
      <c r="N143" s="31">
        <v>25</v>
      </c>
      <c r="O143" s="31">
        <f t="shared" si="15"/>
        <v>41</v>
      </c>
    </row>
    <row r="144" spans="1:15" ht="15.75">
      <c r="A144" s="30">
        <v>53</v>
      </c>
      <c r="B144" s="34" t="s">
        <v>143</v>
      </c>
      <c r="C144" s="33"/>
      <c r="D144" s="33"/>
      <c r="E144" s="33"/>
      <c r="F144" s="31"/>
      <c r="G144" s="31"/>
      <c r="H144" s="38"/>
      <c r="I144" s="38"/>
      <c r="J144" s="31">
        <v>60</v>
      </c>
      <c r="K144" s="31">
        <v>4</v>
      </c>
      <c r="L144" s="31">
        <v>5</v>
      </c>
      <c r="M144" s="31">
        <v>138</v>
      </c>
      <c r="N144" s="31"/>
      <c r="O144" s="31">
        <f t="shared" si="15"/>
        <v>207</v>
      </c>
    </row>
    <row r="145" spans="1:15" ht="15.75">
      <c r="A145" s="30">
        <v>54</v>
      </c>
      <c r="B145" s="34" t="s">
        <v>144</v>
      </c>
      <c r="C145" s="33"/>
      <c r="D145" s="33"/>
      <c r="E145" s="33"/>
      <c r="F145" s="31"/>
      <c r="G145" s="31"/>
      <c r="H145" s="38"/>
      <c r="I145" s="38"/>
      <c r="J145" s="31">
        <v>147</v>
      </c>
      <c r="K145" s="31">
        <v>34</v>
      </c>
      <c r="L145" s="31"/>
      <c r="M145" s="31">
        <v>39</v>
      </c>
      <c r="N145" s="31">
        <f>34+2</f>
        <v>36</v>
      </c>
      <c r="O145" s="31">
        <f t="shared" si="15"/>
        <v>256</v>
      </c>
    </row>
    <row r="146" spans="1:15" ht="15.75">
      <c r="A146" s="30">
        <v>55</v>
      </c>
      <c r="B146" s="34" t="s">
        <v>117</v>
      </c>
      <c r="C146" s="33">
        <f>30+2+36+27</f>
        <v>95</v>
      </c>
      <c r="D146" s="33">
        <f>42+93+98+19+47+86</f>
        <v>385</v>
      </c>
      <c r="E146" s="33">
        <f>35+1+4+12+4+23</f>
        <v>79</v>
      </c>
      <c r="F146" s="31">
        <f t="shared" si="14"/>
        <v>559</v>
      </c>
      <c r="G146" s="31">
        <v>100</v>
      </c>
      <c r="H146" s="38">
        <v>2360</v>
      </c>
      <c r="I146" s="38">
        <v>2360</v>
      </c>
      <c r="J146" s="31">
        <v>40</v>
      </c>
      <c r="K146" s="31">
        <v>47</v>
      </c>
      <c r="L146" s="31">
        <v>2708</v>
      </c>
      <c r="M146" s="31">
        <f>738+37</f>
        <v>775</v>
      </c>
      <c r="N146" s="31">
        <f>1+21+3+28</f>
        <v>53</v>
      </c>
      <c r="O146" s="31">
        <f t="shared" si="15"/>
        <v>3623</v>
      </c>
    </row>
    <row r="147" spans="1:15" ht="15.75">
      <c r="A147" s="30">
        <v>56</v>
      </c>
      <c r="B147" s="39" t="s">
        <v>118</v>
      </c>
      <c r="C147" s="40">
        <f>SUM(C103:C146)</f>
        <v>16039</v>
      </c>
      <c r="D147" s="40">
        <f>SUM(D103:D146)</f>
        <v>11557</v>
      </c>
      <c r="E147" s="40">
        <f>SUM(E103:E146)</f>
        <v>9153</v>
      </c>
      <c r="F147" s="38">
        <f>SUM(C147:E147)</f>
        <v>36749</v>
      </c>
      <c r="G147" s="38">
        <f>SUM(G103:G146)</f>
        <v>14407</v>
      </c>
      <c r="H147" s="38">
        <f>SUM(H103:H146)</f>
        <v>159136</v>
      </c>
      <c r="I147" s="38">
        <f>SUM(I103:I146)</f>
        <v>159136</v>
      </c>
      <c r="J147" s="38">
        <f t="shared" ref="J147" si="16">SUM(J103:J146)</f>
        <v>12874</v>
      </c>
      <c r="K147" s="38">
        <f>SUM(K103:K146)</f>
        <v>13056</v>
      </c>
      <c r="L147" s="38">
        <f>SUM(L103:L146)</f>
        <v>17602</v>
      </c>
      <c r="M147" s="38">
        <f>SUM(M103:M146)</f>
        <v>11622</v>
      </c>
      <c r="N147" s="38">
        <f>SUM(N103:N146)</f>
        <v>13920</v>
      </c>
      <c r="O147" s="38">
        <f>SUM(J147:K147)+L147+M147+N147</f>
        <v>69074</v>
      </c>
    </row>
    <row r="148" spans="1:15" ht="15.75" customHeight="1">
      <c r="A148" s="30"/>
      <c r="B148" s="39" t="s">
        <v>119</v>
      </c>
      <c r="C148" s="38">
        <f>C89+C101-C147</f>
        <v>1043</v>
      </c>
      <c r="D148" s="38">
        <f>D89+D101-D147</f>
        <v>716</v>
      </c>
      <c r="E148" s="38">
        <f>E89+E101-E147</f>
        <v>9485</v>
      </c>
      <c r="F148" s="38">
        <f t="shared" ref="F148:H148" si="17">F89+F101-F147</f>
        <v>9485</v>
      </c>
      <c r="G148" s="38">
        <f t="shared" si="17"/>
        <v>5019</v>
      </c>
      <c r="H148" s="38">
        <f t="shared" si="17"/>
        <v>5019</v>
      </c>
      <c r="I148" s="38">
        <f t="shared" ref="I148:O148" si="18">I89+I101-I147</f>
        <v>5019</v>
      </c>
      <c r="J148" s="38">
        <f t="shared" si="18"/>
        <v>3519</v>
      </c>
      <c r="K148" s="38">
        <f t="shared" si="18"/>
        <v>3349</v>
      </c>
      <c r="L148" s="38">
        <f t="shared" si="18"/>
        <v>3575</v>
      </c>
      <c r="M148" s="38">
        <f t="shared" si="18"/>
        <v>3856</v>
      </c>
      <c r="N148" s="38">
        <f t="shared" ref="N148" si="19">N89+N101-N147</f>
        <v>11787</v>
      </c>
      <c r="O148" s="38">
        <f t="shared" si="18"/>
        <v>11787</v>
      </c>
    </row>
  </sheetData>
  <sheetProtection selectLockedCells="1" selectUnlockedCells="1"/>
  <mergeCells count="77">
    <mergeCell ref="J3:P3"/>
    <mergeCell ref="N4:N5"/>
    <mergeCell ref="I3:I5"/>
    <mergeCell ref="M4:M5"/>
    <mergeCell ref="J23:O23"/>
    <mergeCell ref="J87:O87"/>
    <mergeCell ref="A87:A88"/>
    <mergeCell ref="B87:B88"/>
    <mergeCell ref="I87:I88"/>
    <mergeCell ref="A86:O86"/>
    <mergeCell ref="C73:O73"/>
    <mergeCell ref="I74:I75"/>
    <mergeCell ref="J74:O74"/>
    <mergeCell ref="A23:I23"/>
    <mergeCell ref="A24:I24"/>
    <mergeCell ref="C3:C5"/>
    <mergeCell ref="D3:D5"/>
    <mergeCell ref="E3:E5"/>
    <mergeCell ref="D52:H52"/>
    <mergeCell ref="B3:B5"/>
    <mergeCell ref="D55:H55"/>
    <mergeCell ref="D56:H56"/>
    <mergeCell ref="D36:H36"/>
    <mergeCell ref="H3:H5"/>
    <mergeCell ref="F3:F5"/>
    <mergeCell ref="D57:H57"/>
    <mergeCell ref="D58:H58"/>
    <mergeCell ref="D59:H59"/>
    <mergeCell ref="D60:H60"/>
    <mergeCell ref="D61:H61"/>
    <mergeCell ref="A102:F102"/>
    <mergeCell ref="A90:F90"/>
    <mergeCell ref="A73:A75"/>
    <mergeCell ref="A72:F72"/>
    <mergeCell ref="D62:H62"/>
    <mergeCell ref="G3:G5"/>
    <mergeCell ref="D32:H32"/>
    <mergeCell ref="D33:H33"/>
    <mergeCell ref="D34:H34"/>
    <mergeCell ref="D35:H35"/>
    <mergeCell ref="A6:O6"/>
    <mergeCell ref="D27:H27"/>
    <mergeCell ref="D28:H28"/>
    <mergeCell ref="D29:H29"/>
    <mergeCell ref="D30:H30"/>
    <mergeCell ref="D31:H31"/>
    <mergeCell ref="A3:A5"/>
    <mergeCell ref="J4:J5"/>
    <mergeCell ref="K4:K5"/>
    <mergeCell ref="O4:O5"/>
    <mergeCell ref="D46:H46"/>
    <mergeCell ref="D47:H47"/>
    <mergeCell ref="D48:H48"/>
    <mergeCell ref="D49:H49"/>
    <mergeCell ref="D25:H25"/>
    <mergeCell ref="D26:H26"/>
    <mergeCell ref="D37:H37"/>
    <mergeCell ref="D38:H38"/>
    <mergeCell ref="D39:H39"/>
    <mergeCell ref="D40:H40"/>
    <mergeCell ref="D41:H41"/>
    <mergeCell ref="B73:B75"/>
    <mergeCell ref="D53:H53"/>
    <mergeCell ref="D54:H54"/>
    <mergeCell ref="L4:L5"/>
    <mergeCell ref="D67:H67"/>
    <mergeCell ref="D68:H68"/>
    <mergeCell ref="D63:H63"/>
    <mergeCell ref="D64:H64"/>
    <mergeCell ref="D65:H65"/>
    <mergeCell ref="D66:H66"/>
    <mergeCell ref="D42:H42"/>
    <mergeCell ref="D43:H43"/>
    <mergeCell ref="D44:H44"/>
    <mergeCell ref="D50:H50"/>
    <mergeCell ref="B51:H51"/>
    <mergeCell ref="D45:H45"/>
  </mergeCells>
  <pageMargins left="0.15763888888888888" right="0" top="0.39374999999999999" bottom="0.39374999999999999" header="0.51180555555555551" footer="0.51180555555555551"/>
  <pageSetup paperSize="9" scale="8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 прод-ции 2016-2017</vt:lpstr>
      <vt:lpstr>'Производство прод-ции 2016-2017'!Заголовки_для_печати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Подземельнова Ирина Анатольевна</dc:creator>
  <cp:lastModifiedBy>i.podzemelnova</cp:lastModifiedBy>
  <cp:lastPrinted>2016-12-14T10:48:24Z</cp:lastPrinted>
  <dcterms:created xsi:type="dcterms:W3CDTF">2016-10-13T06:30:50Z</dcterms:created>
  <dcterms:modified xsi:type="dcterms:W3CDTF">2017-05-30T08:11:47Z</dcterms:modified>
</cp:coreProperties>
</file>